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490" windowHeight="7650" tabRatio="771" activeTab="3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інфо_1'!$A$1:$O$88</definedName>
    <definedName name="_xlnm.Print_Area" localSheetId="7">'6.2. Інша інфо_2'!$A$1:$AF$62</definedName>
    <definedName name="_xlnm.Print_Area" localSheetId="1">'I. Фін результат'!$A$1:$I$138</definedName>
    <definedName name="_xlnm.Print_Area" localSheetId="4">'IV. Кап. інвестиції'!$A$1:$H$17</definedName>
    <definedName name="_xlnm.Print_Area" localSheetId="2">'ІІ. Розр. з бюджетом'!$A$1:$G$52</definedName>
    <definedName name="_xlnm.Print_Area" localSheetId="3">'ІІІ. Рух грош. коштів'!$A$1:$H$93</definedName>
    <definedName name="_xlnm.Print_Area" localSheetId="0">'Осн. фін. пок.'!$A$1:$H$177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D43" i="18" l="1"/>
  <c r="D38" i="18"/>
  <c r="D28" i="18"/>
  <c r="D27" i="18"/>
  <c r="D26" i="18"/>
  <c r="D22" i="18"/>
  <c r="D130" i="2" l="1"/>
  <c r="D126" i="2"/>
  <c r="D76" i="2"/>
  <c r="D66" i="2"/>
  <c r="D15" i="2"/>
  <c r="D13" i="2"/>
  <c r="C125" i="14" l="1"/>
  <c r="E107" i="14"/>
  <c r="F12" i="18"/>
  <c r="D87" i="18" l="1"/>
  <c r="N28" i="10"/>
  <c r="N21" i="10"/>
  <c r="D20" i="18"/>
  <c r="D12" i="18"/>
  <c r="F20" i="18"/>
  <c r="G24" i="18"/>
  <c r="H24" i="18"/>
  <c r="G23" i="18"/>
  <c r="H23" i="18"/>
  <c r="D16" i="2"/>
  <c r="D8" i="2" s="1"/>
  <c r="F16" i="2"/>
  <c r="F8" i="2" s="1"/>
  <c r="G22" i="2"/>
  <c r="H22" i="2"/>
  <c r="G77" i="2"/>
  <c r="G55" i="2"/>
  <c r="H55" i="2"/>
  <c r="G54" i="2"/>
  <c r="H54" i="2"/>
  <c r="F32" i="10"/>
  <c r="E170" i="14" s="1"/>
  <c r="D107" i="14"/>
  <c r="D79" i="14"/>
  <c r="D78" i="14"/>
  <c r="D77" i="14"/>
  <c r="D129" i="2"/>
  <c r="D76" i="14" s="1"/>
  <c r="D73" i="14"/>
  <c r="D80" i="14" s="1"/>
  <c r="D73" i="2"/>
  <c r="D64" i="2"/>
  <c r="D57" i="2" s="1"/>
  <c r="D43" i="14" s="1"/>
  <c r="D33" i="2"/>
  <c r="D32" i="2"/>
  <c r="D12" i="2"/>
  <c r="D46" i="2"/>
  <c r="G129" i="2"/>
  <c r="G112" i="2"/>
  <c r="G52" i="2"/>
  <c r="H47" i="2"/>
  <c r="G34" i="2"/>
  <c r="G31" i="2"/>
  <c r="G15" i="2"/>
  <c r="G12" i="2"/>
  <c r="H145" i="14"/>
  <c r="G140" i="14"/>
  <c r="H137" i="14"/>
  <c r="E127" i="14"/>
  <c r="C32" i="10"/>
  <c r="I36" i="10"/>
  <c r="F171" i="14"/>
  <c r="F11" i="18"/>
  <c r="F7" i="18" s="1"/>
  <c r="G132" i="2"/>
  <c r="G13" i="2"/>
  <c r="G7" i="2"/>
  <c r="I32" i="10"/>
  <c r="F170" i="14" s="1"/>
  <c r="C11" i="10"/>
  <c r="L15" i="10"/>
  <c r="C16" i="2"/>
  <c r="C8" i="2" s="1"/>
  <c r="Q36" i="9"/>
  <c r="G85" i="2"/>
  <c r="F72" i="2"/>
  <c r="F69" i="2" s="1"/>
  <c r="F114" i="2" s="1"/>
  <c r="C84" i="2"/>
  <c r="C78" i="2" s="1"/>
  <c r="C47" i="14" s="1"/>
  <c r="F45" i="18"/>
  <c r="I37" i="10"/>
  <c r="F172" i="14" s="1"/>
  <c r="H142" i="14"/>
  <c r="G139" i="14"/>
  <c r="C138" i="14"/>
  <c r="D42" i="18"/>
  <c r="C42" i="19"/>
  <c r="C38" i="19" s="1"/>
  <c r="C105" i="14" s="1"/>
  <c r="W32" i="9"/>
  <c r="W33" i="9"/>
  <c r="N35" i="10"/>
  <c r="L26" i="10"/>
  <c r="L27" i="10"/>
  <c r="F121" i="14"/>
  <c r="H87" i="18"/>
  <c r="H34" i="18"/>
  <c r="H27" i="18"/>
  <c r="G26" i="18"/>
  <c r="G8" i="18"/>
  <c r="G41" i="19"/>
  <c r="H131" i="2"/>
  <c r="H73" i="2"/>
  <c r="G48" i="2"/>
  <c r="H14" i="2"/>
  <c r="F34" i="14"/>
  <c r="L34" i="10"/>
  <c r="I11" i="10"/>
  <c r="G28" i="18"/>
  <c r="G43" i="19"/>
  <c r="H8" i="19"/>
  <c r="G33" i="2"/>
  <c r="H32" i="2"/>
  <c r="H18" i="2"/>
  <c r="H19" i="2"/>
  <c r="G18" i="2"/>
  <c r="G19" i="2"/>
  <c r="D6" i="3"/>
  <c r="C44" i="2"/>
  <c r="C46" i="2"/>
  <c r="X33" i="9"/>
  <c r="L16" i="10"/>
  <c r="E64" i="2"/>
  <c r="E57" i="2" s="1"/>
  <c r="E43" i="14" s="1"/>
  <c r="F64" i="2"/>
  <c r="F57" i="2" s="1"/>
  <c r="H57" i="2" s="1"/>
  <c r="G47" i="2"/>
  <c r="G87" i="18"/>
  <c r="H128" i="2"/>
  <c r="H10" i="2"/>
  <c r="G9" i="2"/>
  <c r="G11" i="2"/>
  <c r="G19" i="11"/>
  <c r="G15" i="11"/>
  <c r="G14" i="11"/>
  <c r="G20" i="2"/>
  <c r="H20" i="2"/>
  <c r="D45" i="18"/>
  <c r="E45" i="18"/>
  <c r="G45" i="18" s="1"/>
  <c r="C72" i="2"/>
  <c r="C69" i="2" s="1"/>
  <c r="AA6" i="9"/>
  <c r="AD6" i="9"/>
  <c r="AA7" i="9"/>
  <c r="AD7" i="9"/>
  <c r="AA8" i="9"/>
  <c r="AD8" i="9"/>
  <c r="AA9" i="9"/>
  <c r="AD9" i="9"/>
  <c r="R10" i="9"/>
  <c r="U10" i="9"/>
  <c r="X10" i="9"/>
  <c r="AA10" i="9" s="1"/>
  <c r="AA19" i="9"/>
  <c r="AD19" i="9"/>
  <c r="AA20" i="9"/>
  <c r="AD20" i="9"/>
  <c r="AA21" i="9"/>
  <c r="AD21" i="9"/>
  <c r="AA22" i="9"/>
  <c r="AD22" i="9"/>
  <c r="R23" i="9"/>
  <c r="U23" i="9"/>
  <c r="X23" i="9"/>
  <c r="O32" i="9"/>
  <c r="P32" i="9"/>
  <c r="S32" i="9"/>
  <c r="T32" i="9"/>
  <c r="X32" i="9"/>
  <c r="AA32" i="9"/>
  <c r="AB32" i="9"/>
  <c r="AC32" i="9"/>
  <c r="AD32" i="9"/>
  <c r="AF32" i="9" s="1"/>
  <c r="O33" i="9"/>
  <c r="P33" i="9"/>
  <c r="S33" i="9"/>
  <c r="S36" i="9" s="1"/>
  <c r="T33" i="9"/>
  <c r="AA33" i="9"/>
  <c r="AB33" i="9"/>
  <c r="AC33" i="9"/>
  <c r="AE33" i="9" s="1"/>
  <c r="AD33" i="9"/>
  <c r="O34" i="9"/>
  <c r="P34" i="9"/>
  <c r="S34" i="9"/>
  <c r="T34" i="9"/>
  <c r="W34" i="9"/>
  <c r="X34" i="9"/>
  <c r="AA34" i="9"/>
  <c r="AA36" i="9" s="1"/>
  <c r="AB34" i="9"/>
  <c r="AC34" i="9"/>
  <c r="AD34" i="9"/>
  <c r="AF34" i="9" s="1"/>
  <c r="O35" i="9"/>
  <c r="P35" i="9"/>
  <c r="S35" i="9"/>
  <c r="T35" i="9"/>
  <c r="W35" i="9"/>
  <c r="X35" i="9"/>
  <c r="AA35" i="9"/>
  <c r="AB35" i="9"/>
  <c r="AC35" i="9"/>
  <c r="AE35" i="9" s="1"/>
  <c r="AD35" i="9"/>
  <c r="M36" i="9"/>
  <c r="E126" i="14"/>
  <c r="N36" i="9"/>
  <c r="R36" i="9"/>
  <c r="F127" i="14"/>
  <c r="H127" i="14" s="1"/>
  <c r="U36" i="9"/>
  <c r="Y36" i="9"/>
  <c r="Z36" i="9"/>
  <c r="N46" i="9"/>
  <c r="N47" i="9"/>
  <c r="N48" i="9"/>
  <c r="N49" i="9"/>
  <c r="N50" i="9"/>
  <c r="N51" i="9"/>
  <c r="N52" i="9"/>
  <c r="F53" i="9"/>
  <c r="H53" i="9"/>
  <c r="J53" i="9"/>
  <c r="L53" i="9"/>
  <c r="P53" i="9"/>
  <c r="R53" i="9"/>
  <c r="T53" i="9"/>
  <c r="L12" i="10"/>
  <c r="N12" i="10"/>
  <c r="L13" i="10"/>
  <c r="N13" i="10"/>
  <c r="N14" i="10"/>
  <c r="L18" i="10"/>
  <c r="N18" i="10"/>
  <c r="L19" i="10"/>
  <c r="N19" i="10"/>
  <c r="L24" i="10"/>
  <c r="N24" i="10"/>
  <c r="L25" i="10"/>
  <c r="N25" i="10"/>
  <c r="F30" i="10"/>
  <c r="L31" i="10"/>
  <c r="N31" i="10"/>
  <c r="L33" i="10"/>
  <c r="N34" i="10"/>
  <c r="F36" i="10"/>
  <c r="E171" i="14" s="1"/>
  <c r="J54" i="10"/>
  <c r="K54" i="10"/>
  <c r="L54" i="10"/>
  <c r="M54" i="10"/>
  <c r="N54" i="10"/>
  <c r="O54" i="10"/>
  <c r="J55" i="10"/>
  <c r="K55" i="10"/>
  <c r="L55" i="10"/>
  <c r="M55" i="10"/>
  <c r="N55" i="10"/>
  <c r="O55" i="10"/>
  <c r="J56" i="10"/>
  <c r="K56" i="10"/>
  <c r="L56" i="10"/>
  <c r="M56" i="10"/>
  <c r="N56" i="10"/>
  <c r="O56" i="10"/>
  <c r="J57" i="10"/>
  <c r="K57" i="10"/>
  <c r="L57" i="10"/>
  <c r="M57" i="10"/>
  <c r="N57" i="10"/>
  <c r="O57" i="10"/>
  <c r="D58" i="10"/>
  <c r="G58" i="10"/>
  <c r="J58" i="10" s="1"/>
  <c r="K68" i="10"/>
  <c r="N75" i="10"/>
  <c r="N78" i="10"/>
  <c r="N81" i="10"/>
  <c r="D84" i="10"/>
  <c r="F84" i="10"/>
  <c r="H84" i="10"/>
  <c r="J84" i="10"/>
  <c r="L84" i="10"/>
  <c r="D14" i="11"/>
  <c r="D15" i="11"/>
  <c r="D19" i="11"/>
  <c r="C6" i="3"/>
  <c r="E6" i="3"/>
  <c r="G7" i="3"/>
  <c r="H7" i="3"/>
  <c r="G8" i="3"/>
  <c r="H8" i="3"/>
  <c r="G10" i="3"/>
  <c r="H10" i="3"/>
  <c r="G11" i="3"/>
  <c r="H11" i="3"/>
  <c r="G12" i="3"/>
  <c r="H12" i="3"/>
  <c r="G9" i="18"/>
  <c r="H9" i="18"/>
  <c r="G10" i="18"/>
  <c r="H10" i="18"/>
  <c r="C11" i="18"/>
  <c r="C111" i="14" s="1"/>
  <c r="D11" i="18"/>
  <c r="D111" i="14" s="1"/>
  <c r="E11" i="18"/>
  <c r="H12" i="18"/>
  <c r="G13" i="18"/>
  <c r="H13" i="18"/>
  <c r="G14" i="18"/>
  <c r="H14" i="18"/>
  <c r="G15" i="18"/>
  <c r="H15" i="18"/>
  <c r="C16" i="18"/>
  <c r="D16" i="18"/>
  <c r="E16" i="18"/>
  <c r="F16" i="18"/>
  <c r="G17" i="18"/>
  <c r="H17" i="18"/>
  <c r="G18" i="18"/>
  <c r="H18" i="18"/>
  <c r="G19" i="18"/>
  <c r="H19" i="18"/>
  <c r="C20" i="18"/>
  <c r="E20" i="18"/>
  <c r="G21" i="18"/>
  <c r="H21" i="18"/>
  <c r="G22" i="18"/>
  <c r="H22" i="18"/>
  <c r="G27" i="18"/>
  <c r="H28" i="18"/>
  <c r="C29" i="18"/>
  <c r="D29" i="18"/>
  <c r="E29" i="18"/>
  <c r="F29" i="18"/>
  <c r="G30" i="18"/>
  <c r="H30" i="18"/>
  <c r="G31" i="18"/>
  <c r="H31" i="18"/>
  <c r="G32" i="18"/>
  <c r="H32" i="18"/>
  <c r="G34" i="18"/>
  <c r="G35" i="18"/>
  <c r="H35" i="18"/>
  <c r="G36" i="18"/>
  <c r="H36" i="18"/>
  <c r="G37" i="18"/>
  <c r="H37" i="18"/>
  <c r="G38" i="18"/>
  <c r="H38" i="18"/>
  <c r="C39" i="18"/>
  <c r="D39" i="18"/>
  <c r="E39" i="18"/>
  <c r="F39" i="18"/>
  <c r="G40" i="18"/>
  <c r="H40" i="18"/>
  <c r="H41" i="18"/>
  <c r="C42" i="18"/>
  <c r="E42" i="18"/>
  <c r="F42" i="18"/>
  <c r="G43" i="18"/>
  <c r="H43" i="18"/>
  <c r="G44" i="18"/>
  <c r="H44" i="18"/>
  <c r="H46" i="18"/>
  <c r="C49" i="18"/>
  <c r="D49" i="18"/>
  <c r="E49" i="18"/>
  <c r="F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58" i="18"/>
  <c r="H58" i="18"/>
  <c r="G59" i="18"/>
  <c r="H59" i="18"/>
  <c r="C57" i="18"/>
  <c r="D60" i="18"/>
  <c r="D57" i="18" s="1"/>
  <c r="E60" i="18"/>
  <c r="E57" i="18" s="1"/>
  <c r="F60" i="18"/>
  <c r="F57" i="18" s="1"/>
  <c r="G61" i="18"/>
  <c r="H61" i="18"/>
  <c r="G62" i="18"/>
  <c r="H62" i="18"/>
  <c r="G63" i="18"/>
  <c r="H63" i="18"/>
  <c r="G64" i="18"/>
  <c r="H64" i="18"/>
  <c r="G65" i="18"/>
  <c r="H65" i="18"/>
  <c r="G69" i="18"/>
  <c r="H69" i="18"/>
  <c r="C70" i="18"/>
  <c r="C68" i="18" s="1"/>
  <c r="D70" i="18"/>
  <c r="D68" i="18" s="1"/>
  <c r="E70" i="18"/>
  <c r="E68" i="18" s="1"/>
  <c r="F70" i="18"/>
  <c r="G71" i="18"/>
  <c r="H71" i="18"/>
  <c r="G72" i="18"/>
  <c r="H72" i="18"/>
  <c r="G73" i="18"/>
  <c r="H73" i="18"/>
  <c r="G74" i="18"/>
  <c r="H74" i="18"/>
  <c r="G76" i="18"/>
  <c r="H76" i="18"/>
  <c r="C77" i="18"/>
  <c r="C75" i="18" s="1"/>
  <c r="D77" i="18"/>
  <c r="D75" i="18" s="1"/>
  <c r="E77" i="18"/>
  <c r="E75" i="18" s="1"/>
  <c r="F77" i="18"/>
  <c r="H77" i="18" s="1"/>
  <c r="G78" i="18"/>
  <c r="H78" i="18"/>
  <c r="G79" i="18"/>
  <c r="H79" i="18"/>
  <c r="G80" i="18"/>
  <c r="H80" i="18"/>
  <c r="G81" i="18"/>
  <c r="H81" i="18"/>
  <c r="G82" i="18"/>
  <c r="H82" i="18"/>
  <c r="G83" i="18"/>
  <c r="H83" i="18"/>
  <c r="G84" i="18"/>
  <c r="H84" i="18"/>
  <c r="G88" i="18"/>
  <c r="H88" i="18"/>
  <c r="G8" i="19"/>
  <c r="C9" i="19"/>
  <c r="D9" i="19"/>
  <c r="E9" i="19"/>
  <c r="F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C30" i="19"/>
  <c r="C21" i="19" s="1"/>
  <c r="C96" i="14" s="1"/>
  <c r="D30" i="19"/>
  <c r="D21" i="19" s="1"/>
  <c r="D96" i="14" s="1"/>
  <c r="E30" i="19"/>
  <c r="F30" i="19"/>
  <c r="G31" i="19"/>
  <c r="H31" i="19"/>
  <c r="G32" i="19"/>
  <c r="H32" i="19"/>
  <c r="C33" i="19"/>
  <c r="C104" i="14" s="1"/>
  <c r="D33" i="19"/>
  <c r="D104" i="14"/>
  <c r="E33" i="19"/>
  <c r="E104" i="14"/>
  <c r="F33" i="19"/>
  <c r="F104" i="14"/>
  <c r="G104" i="14" s="1"/>
  <c r="G34" i="19"/>
  <c r="H34" i="19"/>
  <c r="G35" i="19"/>
  <c r="H35" i="19"/>
  <c r="G36" i="19"/>
  <c r="H36" i="19"/>
  <c r="G37" i="19"/>
  <c r="H37" i="19"/>
  <c r="G39" i="19"/>
  <c r="H39" i="19"/>
  <c r="G40" i="19"/>
  <c r="H40" i="19"/>
  <c r="D42" i="19"/>
  <c r="D38" i="19" s="1"/>
  <c r="D105" i="14" s="1"/>
  <c r="E42" i="19"/>
  <c r="E38" i="19" s="1"/>
  <c r="E105" i="14" s="1"/>
  <c r="F42" i="19"/>
  <c r="F38" i="19" s="1"/>
  <c r="C44" i="19"/>
  <c r="D44" i="19"/>
  <c r="E44" i="19"/>
  <c r="F44" i="19"/>
  <c r="G45" i="19"/>
  <c r="H45" i="19"/>
  <c r="G46" i="19"/>
  <c r="H46" i="19"/>
  <c r="H9" i="2"/>
  <c r="H11" i="2"/>
  <c r="H15" i="2"/>
  <c r="E16" i="2"/>
  <c r="E8" i="2" s="1"/>
  <c r="H17" i="2"/>
  <c r="H16" i="2" s="1"/>
  <c r="G21" i="2"/>
  <c r="G16" i="2" s="1"/>
  <c r="H21" i="2"/>
  <c r="G25" i="2"/>
  <c r="H25" i="2"/>
  <c r="G26" i="2"/>
  <c r="H26" i="2"/>
  <c r="G27" i="2"/>
  <c r="H27" i="2"/>
  <c r="G28" i="2"/>
  <c r="H28" i="2"/>
  <c r="G29" i="2"/>
  <c r="H29" i="2"/>
  <c r="G30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D44" i="2"/>
  <c r="F44" i="2"/>
  <c r="G45" i="2"/>
  <c r="H45" i="2"/>
  <c r="E46" i="2"/>
  <c r="G49" i="2"/>
  <c r="G50" i="2"/>
  <c r="H50" i="2"/>
  <c r="G51" i="2"/>
  <c r="H51" i="2"/>
  <c r="G53" i="2"/>
  <c r="H53" i="2"/>
  <c r="G56" i="2"/>
  <c r="H56" i="2"/>
  <c r="G58" i="2"/>
  <c r="H58" i="2"/>
  <c r="G59" i="2"/>
  <c r="H59" i="2"/>
  <c r="G60" i="2"/>
  <c r="H60" i="2"/>
  <c r="G61" i="2"/>
  <c r="H61" i="2"/>
  <c r="G62" i="2"/>
  <c r="H62" i="2"/>
  <c r="G63" i="2"/>
  <c r="H63" i="2"/>
  <c r="C64" i="2"/>
  <c r="C57" i="2" s="1"/>
  <c r="C43" i="14" s="1"/>
  <c r="C50" i="14" s="1"/>
  <c r="C61" i="14" s="1"/>
  <c r="C66" i="14" s="1"/>
  <c r="G65" i="2"/>
  <c r="H65" i="2"/>
  <c r="G66" i="2"/>
  <c r="H66" i="2"/>
  <c r="G67" i="2"/>
  <c r="H67" i="2"/>
  <c r="G68" i="2"/>
  <c r="H68" i="2"/>
  <c r="G70" i="2"/>
  <c r="H70" i="2"/>
  <c r="G71" i="2"/>
  <c r="H71" i="2"/>
  <c r="E72" i="2"/>
  <c r="E69" i="2"/>
  <c r="E44" i="14" s="1"/>
  <c r="E69" i="14" s="1"/>
  <c r="G74" i="2"/>
  <c r="H74" i="2"/>
  <c r="G75" i="2"/>
  <c r="H75" i="2"/>
  <c r="G76" i="2"/>
  <c r="H76" i="2"/>
  <c r="H77" i="2"/>
  <c r="G79" i="2"/>
  <c r="H79" i="2"/>
  <c r="G80" i="2"/>
  <c r="H80" i="2"/>
  <c r="G81" i="2"/>
  <c r="H81" i="2"/>
  <c r="G82" i="2"/>
  <c r="H82" i="2"/>
  <c r="G83" i="2"/>
  <c r="H83" i="2"/>
  <c r="D84" i="2"/>
  <c r="D78" i="2"/>
  <c r="D47" i="14" s="1"/>
  <c r="E84" i="2"/>
  <c r="F84" i="2"/>
  <c r="F78" i="2" s="1"/>
  <c r="F47" i="14" s="1"/>
  <c r="G87" i="2"/>
  <c r="H87" i="2"/>
  <c r="G88" i="2"/>
  <c r="H88" i="2"/>
  <c r="G89" i="2"/>
  <c r="H89" i="2"/>
  <c r="G90" i="2"/>
  <c r="H90" i="2"/>
  <c r="G92" i="2"/>
  <c r="H92" i="2"/>
  <c r="C93" i="2"/>
  <c r="C91" i="2"/>
  <c r="C57" i="14" s="1"/>
  <c r="D93" i="2"/>
  <c r="D91" i="2" s="1"/>
  <c r="D57" i="14" s="1"/>
  <c r="E93" i="2"/>
  <c r="E91" i="2"/>
  <c r="F93" i="2"/>
  <c r="F91" i="2"/>
  <c r="H91" i="2" s="1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3" i="2"/>
  <c r="H103" i="2"/>
  <c r="C104" i="2"/>
  <c r="C102" i="2"/>
  <c r="C59" i="14" s="1"/>
  <c r="D104" i="2"/>
  <c r="D102" i="2" s="1"/>
  <c r="D59" i="14" s="1"/>
  <c r="E104" i="2"/>
  <c r="E102" i="2"/>
  <c r="F104" i="2"/>
  <c r="F102" i="2"/>
  <c r="G105" i="2"/>
  <c r="H105" i="2"/>
  <c r="G107" i="2"/>
  <c r="H107" i="2"/>
  <c r="G108" i="2"/>
  <c r="H108" i="2"/>
  <c r="G109" i="2"/>
  <c r="H109" i="2"/>
  <c r="G110" i="2"/>
  <c r="H110" i="2"/>
  <c r="D67" i="14"/>
  <c r="H112" i="2"/>
  <c r="G113" i="2"/>
  <c r="H113" i="2"/>
  <c r="G116" i="2"/>
  <c r="H116" i="2"/>
  <c r="C119" i="2"/>
  <c r="E119" i="2"/>
  <c r="F119" i="2"/>
  <c r="G119" i="2" s="1"/>
  <c r="C120" i="2"/>
  <c r="D120" i="2"/>
  <c r="E120" i="2"/>
  <c r="F120" i="2"/>
  <c r="C121" i="2"/>
  <c r="D121" i="2"/>
  <c r="E121" i="2"/>
  <c r="F121" i="2"/>
  <c r="C122" i="2"/>
  <c r="D122" i="2"/>
  <c r="E122" i="2"/>
  <c r="F122" i="2"/>
  <c r="G122" i="2" s="1"/>
  <c r="C123" i="2"/>
  <c r="D123" i="2"/>
  <c r="E123" i="2"/>
  <c r="F123" i="2"/>
  <c r="G123" i="2" s="1"/>
  <c r="G126" i="2"/>
  <c r="H126" i="2"/>
  <c r="D74" i="14"/>
  <c r="H127" i="2"/>
  <c r="G127" i="2"/>
  <c r="G128" i="2"/>
  <c r="H129" i="2"/>
  <c r="G130" i="2"/>
  <c r="H130" i="2"/>
  <c r="G131" i="2"/>
  <c r="C133" i="2"/>
  <c r="E133" i="2"/>
  <c r="C34" i="14"/>
  <c r="D34" i="14"/>
  <c r="E34" i="14"/>
  <c r="C38" i="14"/>
  <c r="D38" i="14"/>
  <c r="E38" i="14"/>
  <c r="G38" i="14" s="1"/>
  <c r="F38" i="14"/>
  <c r="C39" i="14"/>
  <c r="D39" i="14"/>
  <c r="E39" i="14"/>
  <c r="H39" i="14" s="1"/>
  <c r="F39" i="14"/>
  <c r="C40" i="14"/>
  <c r="D40" i="14"/>
  <c r="E40" i="14"/>
  <c r="F40" i="14"/>
  <c r="C41" i="14"/>
  <c r="D41" i="14"/>
  <c r="E41" i="14"/>
  <c r="F41" i="14"/>
  <c r="C42" i="14"/>
  <c r="D42" i="14"/>
  <c r="E42" i="14"/>
  <c r="G42" i="14" s="1"/>
  <c r="F42" i="14"/>
  <c r="C45" i="14"/>
  <c r="D45" i="14"/>
  <c r="E45" i="14"/>
  <c r="F45" i="14"/>
  <c r="C46" i="14"/>
  <c r="D46" i="14"/>
  <c r="E46" i="14"/>
  <c r="G46" i="14" s="1"/>
  <c r="F46" i="14"/>
  <c r="C48" i="14"/>
  <c r="D48" i="14"/>
  <c r="E48" i="14"/>
  <c r="G48" i="14" s="1"/>
  <c r="F48" i="14"/>
  <c r="C49" i="14"/>
  <c r="D49" i="14"/>
  <c r="E49" i="14"/>
  <c r="F49" i="14"/>
  <c r="C53" i="14"/>
  <c r="D53" i="14"/>
  <c r="E53" i="14"/>
  <c r="H53" i="14" s="1"/>
  <c r="F53" i="14"/>
  <c r="C54" i="14"/>
  <c r="D54" i="14"/>
  <c r="E54" i="14"/>
  <c r="F54" i="14"/>
  <c r="C55" i="14"/>
  <c r="D55" i="14"/>
  <c r="E55" i="14"/>
  <c r="F55" i="14"/>
  <c r="C56" i="14"/>
  <c r="D56" i="14"/>
  <c r="E56" i="14"/>
  <c r="G56" i="14" s="1"/>
  <c r="F56" i="14"/>
  <c r="C58" i="14"/>
  <c r="D58" i="14"/>
  <c r="E58" i="14"/>
  <c r="G58" i="14" s="1"/>
  <c r="F58" i="14"/>
  <c r="C60" i="14"/>
  <c r="D60" i="14"/>
  <c r="E60" i="14"/>
  <c r="F60" i="14"/>
  <c r="C62" i="14"/>
  <c r="D62" i="14"/>
  <c r="E62" i="14"/>
  <c r="G62" i="14" s="1"/>
  <c r="F62" i="14"/>
  <c r="C63" i="14"/>
  <c r="D63" i="14"/>
  <c r="E63" i="14"/>
  <c r="F63" i="14"/>
  <c r="C64" i="14"/>
  <c r="D64" i="14"/>
  <c r="E64" i="14"/>
  <c r="H64" i="14" s="1"/>
  <c r="F64" i="14"/>
  <c r="C65" i="14"/>
  <c r="D65" i="14"/>
  <c r="E65" i="14"/>
  <c r="G65" i="14" s="1"/>
  <c r="F65" i="14"/>
  <c r="C67" i="14"/>
  <c r="E67" i="14"/>
  <c r="F67" i="14"/>
  <c r="H67" i="14" s="1"/>
  <c r="C68" i="14"/>
  <c r="D68" i="14"/>
  <c r="E68" i="14"/>
  <c r="F68" i="14"/>
  <c r="G68" i="14" s="1"/>
  <c r="C71" i="14"/>
  <c r="D71" i="14"/>
  <c r="E71" i="14"/>
  <c r="F71" i="14"/>
  <c r="H71" i="14" s="1"/>
  <c r="G72" i="14"/>
  <c r="H72" i="14"/>
  <c r="C73" i="14"/>
  <c r="E73" i="14"/>
  <c r="F73" i="14"/>
  <c r="G73" i="14" s="1"/>
  <c r="C74" i="14"/>
  <c r="E74" i="14"/>
  <c r="F74" i="14"/>
  <c r="H74" i="14" s="1"/>
  <c r="C75" i="14"/>
  <c r="D75" i="14"/>
  <c r="E75" i="14"/>
  <c r="C76" i="14"/>
  <c r="E76" i="14"/>
  <c r="F76" i="14"/>
  <c r="C77" i="14"/>
  <c r="E77" i="14"/>
  <c r="F77" i="14"/>
  <c r="C78" i="14"/>
  <c r="E78" i="14"/>
  <c r="C79" i="14"/>
  <c r="E79" i="14"/>
  <c r="F79" i="14"/>
  <c r="H79" i="14" s="1"/>
  <c r="C83" i="14"/>
  <c r="D83" i="14"/>
  <c r="E83" i="14"/>
  <c r="G83" i="14" s="1"/>
  <c r="F83" i="14"/>
  <c r="C86" i="14"/>
  <c r="C85" i="14"/>
  <c r="D86" i="14"/>
  <c r="D85" i="14"/>
  <c r="E86" i="14"/>
  <c r="F86" i="14"/>
  <c r="G86" i="14" s="1"/>
  <c r="H86" i="14"/>
  <c r="C87" i="14"/>
  <c r="D87" i="14"/>
  <c r="E87" i="14"/>
  <c r="E85" i="14"/>
  <c r="F87" i="14"/>
  <c r="G87" i="14" s="1"/>
  <c r="C88" i="14"/>
  <c r="D88" i="14"/>
  <c r="E88" i="14"/>
  <c r="F88" i="14"/>
  <c r="G88" i="14" s="1"/>
  <c r="C89" i="14"/>
  <c r="D89" i="14"/>
  <c r="E89" i="14"/>
  <c r="G89" i="14"/>
  <c r="F89" i="14"/>
  <c r="C90" i="14"/>
  <c r="D90" i="14"/>
  <c r="E90" i="14"/>
  <c r="H90" i="14" s="1"/>
  <c r="F90" i="14"/>
  <c r="G90" i="14"/>
  <c r="C91" i="14"/>
  <c r="D91" i="14"/>
  <c r="E91" i="14"/>
  <c r="G91" i="14" s="1"/>
  <c r="F91" i="14"/>
  <c r="C92" i="14"/>
  <c r="D92" i="14"/>
  <c r="E92" i="14"/>
  <c r="F92" i="14"/>
  <c r="H92" i="14" s="1"/>
  <c r="G92" i="14"/>
  <c r="C93" i="14"/>
  <c r="D93" i="14"/>
  <c r="E93" i="14"/>
  <c r="H93" i="14" s="1"/>
  <c r="F93" i="14"/>
  <c r="D97" i="14"/>
  <c r="E97" i="14"/>
  <c r="F97" i="14"/>
  <c r="D98" i="14"/>
  <c r="F98" i="14"/>
  <c r="G98" i="14" s="1"/>
  <c r="C99" i="14"/>
  <c r="D99" i="14"/>
  <c r="E99" i="14"/>
  <c r="F99" i="14"/>
  <c r="G99" i="14" s="1"/>
  <c r="C100" i="14"/>
  <c r="D100" i="14"/>
  <c r="E100" i="14"/>
  <c r="H100" i="14"/>
  <c r="F100" i="14"/>
  <c r="C101" i="14"/>
  <c r="D101" i="14"/>
  <c r="E101" i="14"/>
  <c r="G101" i="14" s="1"/>
  <c r="F101" i="14"/>
  <c r="C102" i="14"/>
  <c r="D102" i="14"/>
  <c r="E102" i="14"/>
  <c r="F102" i="14"/>
  <c r="C103" i="14"/>
  <c r="D103" i="14"/>
  <c r="E103" i="14"/>
  <c r="F103" i="14"/>
  <c r="G103" i="14" s="1"/>
  <c r="H103" i="14"/>
  <c r="C106" i="14"/>
  <c r="D106" i="14"/>
  <c r="E106" i="14"/>
  <c r="F106" i="14"/>
  <c r="C107" i="14"/>
  <c r="H107" i="14"/>
  <c r="F107" i="14"/>
  <c r="C110" i="14"/>
  <c r="D110" i="14"/>
  <c r="E110" i="14"/>
  <c r="F110" i="14"/>
  <c r="C115" i="14"/>
  <c r="D115" i="14"/>
  <c r="E115" i="14"/>
  <c r="F115" i="14"/>
  <c r="C119" i="14"/>
  <c r="D119" i="14"/>
  <c r="E119" i="14"/>
  <c r="G119" i="14" s="1"/>
  <c r="F119" i="14"/>
  <c r="C120" i="14"/>
  <c r="D120" i="14"/>
  <c r="E120" i="14"/>
  <c r="F120" i="14"/>
  <c r="F118" i="14" s="1"/>
  <c r="H118" i="14" s="1"/>
  <c r="C121" i="14"/>
  <c r="C118" i="14" s="1"/>
  <c r="D17" i="11" s="1"/>
  <c r="D121" i="14"/>
  <c r="E121" i="14"/>
  <c r="H121" i="14" s="1"/>
  <c r="C122" i="14"/>
  <c r="D122" i="14"/>
  <c r="E122" i="14"/>
  <c r="F122" i="14"/>
  <c r="H122" i="14" s="1"/>
  <c r="C123" i="14"/>
  <c r="D123" i="14"/>
  <c r="E123" i="14"/>
  <c r="F123" i="14"/>
  <c r="C124" i="14"/>
  <c r="D124" i="14"/>
  <c r="E124" i="14"/>
  <c r="F124" i="14"/>
  <c r="D125" i="14"/>
  <c r="F126" i="14"/>
  <c r="H126" i="14" s="1"/>
  <c r="F129" i="14"/>
  <c r="G129" i="14"/>
  <c r="C135" i="14"/>
  <c r="G137" i="14"/>
  <c r="D138" i="14"/>
  <c r="H139" i="14"/>
  <c r="H140" i="14"/>
  <c r="G141" i="14"/>
  <c r="G142" i="14"/>
  <c r="G143" i="14"/>
  <c r="H143" i="14"/>
  <c r="G144" i="14"/>
  <c r="H144" i="14"/>
  <c r="C146" i="14"/>
  <c r="C134" i="14" s="1"/>
  <c r="D146" i="14"/>
  <c r="D134" i="14" s="1"/>
  <c r="G147" i="14"/>
  <c r="H147" i="14"/>
  <c r="G148" i="14"/>
  <c r="H148" i="14"/>
  <c r="H149" i="14"/>
  <c r="C151" i="14"/>
  <c r="D151" i="14"/>
  <c r="E152" i="14"/>
  <c r="F152" i="14"/>
  <c r="E153" i="14"/>
  <c r="G153" i="14" s="1"/>
  <c r="F153" i="14"/>
  <c r="E154" i="14"/>
  <c r="F154" i="14"/>
  <c r="G154" i="14" s="1"/>
  <c r="C155" i="14"/>
  <c r="D155" i="14"/>
  <c r="E156" i="14"/>
  <c r="F156" i="14"/>
  <c r="F155" i="14" s="1"/>
  <c r="G156" i="14"/>
  <c r="H156" i="14"/>
  <c r="E157" i="14"/>
  <c r="H157" i="14" s="1"/>
  <c r="F157" i="14"/>
  <c r="E158" i="14"/>
  <c r="H158" i="14" s="1"/>
  <c r="F158" i="14"/>
  <c r="C161" i="14"/>
  <c r="D161" i="14"/>
  <c r="E161" i="14"/>
  <c r="G161" i="14" s="1"/>
  <c r="F161" i="14"/>
  <c r="C162" i="14"/>
  <c r="D162" i="14"/>
  <c r="E162" i="14"/>
  <c r="F162" i="14"/>
  <c r="H162" i="14"/>
  <c r="E163" i="14"/>
  <c r="F163" i="14"/>
  <c r="F160" i="14" s="1"/>
  <c r="E164" i="14"/>
  <c r="H164" i="14"/>
  <c r="F164" i="14"/>
  <c r="E165" i="14"/>
  <c r="H165" i="14" s="1"/>
  <c r="F165" i="14"/>
  <c r="E166" i="14"/>
  <c r="F166" i="14"/>
  <c r="H166" i="14" s="1"/>
  <c r="C168" i="14"/>
  <c r="D168" i="14"/>
  <c r="F168" i="14"/>
  <c r="C169" i="14"/>
  <c r="E169" i="14"/>
  <c r="F169" i="14"/>
  <c r="H169" i="14" s="1"/>
  <c r="H7" i="2"/>
  <c r="G149" i="14"/>
  <c r="H141" i="14"/>
  <c r="E129" i="14"/>
  <c r="H129" i="14" s="1"/>
  <c r="AB36" i="9"/>
  <c r="AF35" i="9"/>
  <c r="F46" i="2"/>
  <c r="F24" i="2" s="1"/>
  <c r="F37" i="14" s="1"/>
  <c r="G37" i="14" s="1"/>
  <c r="H34" i="2"/>
  <c r="H49" i="2"/>
  <c r="H46" i="2" s="1"/>
  <c r="H48" i="2"/>
  <c r="H30" i="2"/>
  <c r="L28" i="10"/>
  <c r="C36" i="10"/>
  <c r="N26" i="10"/>
  <c r="L20" i="10"/>
  <c r="N16" i="10"/>
  <c r="C37" i="10"/>
  <c r="L14" i="10"/>
  <c r="F75" i="14"/>
  <c r="G73" i="2"/>
  <c r="H13" i="2"/>
  <c r="G10" i="2"/>
  <c r="L35" i="10"/>
  <c r="N33" i="10"/>
  <c r="C23" i="10"/>
  <c r="C29" i="10" s="1"/>
  <c r="C17" i="10"/>
  <c r="F11" i="10"/>
  <c r="N11" i="10"/>
  <c r="E19" i="11"/>
  <c r="P36" i="9"/>
  <c r="AE34" i="9"/>
  <c r="AD10" i="9"/>
  <c r="AD23" i="9"/>
  <c r="AA23" i="9"/>
  <c r="H87" i="14"/>
  <c r="O36" i="9"/>
  <c r="G152" i="14"/>
  <c r="H152" i="14"/>
  <c r="H91" i="14"/>
  <c r="G169" i="14"/>
  <c r="G100" i="14"/>
  <c r="H89" i="14"/>
  <c r="L30" i="10"/>
  <c r="E168" i="14"/>
  <c r="N30" i="10"/>
  <c r="F21" i="19"/>
  <c r="G9" i="19"/>
  <c r="H9" i="19"/>
  <c r="N53" i="9"/>
  <c r="H9" i="3"/>
  <c r="V36" i="9"/>
  <c r="X36" i="9" s="1"/>
  <c r="T36" i="9"/>
  <c r="H97" i="14"/>
  <c r="L21" i="10"/>
  <c r="N15" i="10"/>
  <c r="G46" i="18"/>
  <c r="H26" i="18"/>
  <c r="G12" i="18"/>
  <c r="H33" i="2"/>
  <c r="G32" i="2"/>
  <c r="G14" i="2"/>
  <c r="W36" i="9"/>
  <c r="AD36" i="9"/>
  <c r="R37" i="9" s="1"/>
  <c r="N20" i="10"/>
  <c r="N27" i="10"/>
  <c r="N22" i="10"/>
  <c r="L22" i="10"/>
  <c r="F6" i="3"/>
  <c r="H6" i="3" s="1"/>
  <c r="G9" i="3"/>
  <c r="H8" i="18"/>
  <c r="H41" i="19"/>
  <c r="F78" i="14"/>
  <c r="H78" i="14" s="1"/>
  <c r="H31" i="2"/>
  <c r="H12" i="2"/>
  <c r="Z37" i="9"/>
  <c r="N37" i="9"/>
  <c r="AD37" i="9" s="1"/>
  <c r="G107" i="14"/>
  <c r="E118" i="14"/>
  <c r="H33" i="19"/>
  <c r="E111" i="14"/>
  <c r="G145" i="14"/>
  <c r="E14" i="11"/>
  <c r="E15" i="11"/>
  <c r="D135" i="14"/>
  <c r="F17" i="10"/>
  <c r="I17" i="10"/>
  <c r="G164" i="14"/>
  <c r="E125" i="14"/>
  <c r="M58" i="10"/>
  <c r="G165" i="14"/>
  <c r="F133" i="2"/>
  <c r="H133" i="2" s="1"/>
  <c r="D119" i="2"/>
  <c r="H132" i="2"/>
  <c r="H52" i="2"/>
  <c r="D160" i="14"/>
  <c r="D167" i="14" s="1"/>
  <c r="H20" i="18"/>
  <c r="H104" i="14"/>
  <c r="G33" i="19"/>
  <c r="L11" i="10"/>
  <c r="F29" i="10"/>
  <c r="E167" i="14" s="1"/>
  <c r="H163" i="14"/>
  <c r="H64" i="2"/>
  <c r="G64" i="2"/>
  <c r="H93" i="2"/>
  <c r="H63" i="14"/>
  <c r="G75" i="14"/>
  <c r="H46" i="14"/>
  <c r="H84" i="2"/>
  <c r="E80" i="14"/>
  <c r="G34" i="14"/>
  <c r="C24" i="2"/>
  <c r="C37" i="14" s="1"/>
  <c r="G60" i="14"/>
  <c r="G45" i="14"/>
  <c r="H123" i="2"/>
  <c r="H34" i="14"/>
  <c r="H119" i="2"/>
  <c r="G63" i="14"/>
  <c r="G64" i="14"/>
  <c r="H60" i="14"/>
  <c r="H56" i="14"/>
  <c r="H54" i="14"/>
  <c r="H42" i="14"/>
  <c r="G39" i="14"/>
  <c r="G104" i="2"/>
  <c r="H44" i="2"/>
  <c r="H102" i="2"/>
  <c r="G54" i="14"/>
  <c r="H62" i="14"/>
  <c r="H104" i="2"/>
  <c r="G71" i="14"/>
  <c r="H65" i="14"/>
  <c r="E24" i="2"/>
  <c r="E37" i="14" s="1"/>
  <c r="D133" i="2"/>
  <c r="H75" i="14"/>
  <c r="G57" i="2"/>
  <c r="H58" i="14"/>
  <c r="H48" i="14"/>
  <c r="H45" i="14"/>
  <c r="H122" i="2"/>
  <c r="H120" i="2"/>
  <c r="D72" i="2"/>
  <c r="D69" i="2" s="1"/>
  <c r="E114" i="2"/>
  <c r="E57" i="14"/>
  <c r="G91" i="2"/>
  <c r="C23" i="2"/>
  <c r="D7" i="11" s="1"/>
  <c r="C35" i="14"/>
  <c r="C36" i="14" s="1"/>
  <c r="F43" i="14"/>
  <c r="H43" i="14" s="1"/>
  <c r="G53" i="14"/>
  <c r="G44" i="2"/>
  <c r="C44" i="14"/>
  <c r="C69" i="14" s="1"/>
  <c r="G93" i="2"/>
  <c r="G67" i="14"/>
  <c r="E59" i="14"/>
  <c r="F57" i="14"/>
  <c r="G57" i="14" s="1"/>
  <c r="G120" i="2"/>
  <c r="H38" i="14"/>
  <c r="G74" i="14"/>
  <c r="C115" i="2"/>
  <c r="G43" i="14"/>
  <c r="H8" i="2"/>
  <c r="F23" i="2"/>
  <c r="G8" i="2"/>
  <c r="F35" i="14"/>
  <c r="F36" i="14" s="1"/>
  <c r="G7" i="11" s="1"/>
  <c r="G122" i="14" l="1"/>
  <c r="D118" i="14"/>
  <c r="H120" i="14"/>
  <c r="H119" i="14"/>
  <c r="G120" i="14"/>
  <c r="G121" i="14"/>
  <c r="G124" i="14"/>
  <c r="G123" i="14"/>
  <c r="G79" i="14"/>
  <c r="H73" i="14"/>
  <c r="G78" i="14"/>
  <c r="G133" i="2"/>
  <c r="F115" i="2"/>
  <c r="D24" i="2"/>
  <c r="D37" i="14" s="1"/>
  <c r="H24" i="2"/>
  <c r="H37" i="14"/>
  <c r="F86" i="2"/>
  <c r="F118" i="2" s="1"/>
  <c r="F124" i="2" s="1"/>
  <c r="F51" i="14" s="1"/>
  <c r="D35" i="14"/>
  <c r="D23" i="2"/>
  <c r="E7" i="11" s="1"/>
  <c r="H72" i="2"/>
  <c r="G72" i="2"/>
  <c r="H69" i="2"/>
  <c r="H114" i="2"/>
  <c r="G114" i="2"/>
  <c r="L17" i="10"/>
  <c r="H30" i="19"/>
  <c r="E21" i="19"/>
  <c r="E96" i="14" s="1"/>
  <c r="G30" i="19"/>
  <c r="D47" i="19"/>
  <c r="D108" i="14" s="1"/>
  <c r="C47" i="19"/>
  <c r="C108" i="14" s="1"/>
  <c r="H98" i="14"/>
  <c r="H83" i="14"/>
  <c r="H38" i="19"/>
  <c r="E17" i="11"/>
  <c r="E18" i="11"/>
  <c r="C133" i="14"/>
  <c r="C131" i="14"/>
  <c r="D10" i="11"/>
  <c r="D9" i="11"/>
  <c r="D11" i="11"/>
  <c r="C132" i="14"/>
  <c r="C70" i="14"/>
  <c r="G160" i="14"/>
  <c r="H160" i="14"/>
  <c r="I23" i="10"/>
  <c r="F80" i="14"/>
  <c r="H76" i="14"/>
  <c r="D18" i="11"/>
  <c r="G46" i="2"/>
  <c r="H23" i="2"/>
  <c r="H57" i="14"/>
  <c r="G24" i="2"/>
  <c r="G6" i="3"/>
  <c r="G42" i="19"/>
  <c r="F96" i="14"/>
  <c r="F47" i="19"/>
  <c r="H168" i="14"/>
  <c r="G168" i="14"/>
  <c r="H101" i="14"/>
  <c r="G126" i="14"/>
  <c r="G162" i="14"/>
  <c r="C160" i="14"/>
  <c r="C167" i="14" s="1"/>
  <c r="G157" i="14"/>
  <c r="H102" i="14"/>
  <c r="G102" i="14"/>
  <c r="G102" i="2"/>
  <c r="F59" i="14"/>
  <c r="E35" i="14"/>
  <c r="E23" i="2"/>
  <c r="F105" i="14"/>
  <c r="G38" i="19"/>
  <c r="G23" i="2"/>
  <c r="C86" i="2"/>
  <c r="G76" i="14"/>
  <c r="G166" i="14"/>
  <c r="H154" i="14"/>
  <c r="F85" i="14"/>
  <c r="G163" i="14"/>
  <c r="G158" i="14"/>
  <c r="H153" i="14"/>
  <c r="E151" i="14"/>
  <c r="H124" i="14"/>
  <c r="H123" i="14"/>
  <c r="G118" i="14"/>
  <c r="H99" i="14"/>
  <c r="G93" i="14"/>
  <c r="H88" i="14"/>
  <c r="H77" i="14"/>
  <c r="G77" i="14"/>
  <c r="C80" i="14"/>
  <c r="H55" i="14"/>
  <c r="G55" i="14"/>
  <c r="H49" i="14"/>
  <c r="G49" i="14"/>
  <c r="H41" i="14"/>
  <c r="G41" i="14"/>
  <c r="H40" i="14"/>
  <c r="G40" i="14"/>
  <c r="G121" i="2"/>
  <c r="H121" i="2"/>
  <c r="G44" i="19"/>
  <c r="H44" i="19"/>
  <c r="H42" i="19"/>
  <c r="C114" i="2"/>
  <c r="V37" i="9"/>
  <c r="F128" i="14"/>
  <c r="F125" i="14" s="1"/>
  <c r="F151" i="14"/>
  <c r="E160" i="14"/>
  <c r="H161" i="14"/>
  <c r="E155" i="14"/>
  <c r="H155" i="14" s="1"/>
  <c r="G97" i="14"/>
  <c r="E78" i="2"/>
  <c r="G84" i="2"/>
  <c r="N84" i="10"/>
  <c r="G106" i="14"/>
  <c r="H106" i="14"/>
  <c r="F44" i="14"/>
  <c r="H44" i="14" s="1"/>
  <c r="G69" i="2"/>
  <c r="AE32" i="9"/>
  <c r="H138" i="14"/>
  <c r="C7" i="18"/>
  <c r="E7" i="18"/>
  <c r="F37" i="10"/>
  <c r="G127" i="14"/>
  <c r="G170" i="14"/>
  <c r="AF33" i="9"/>
  <c r="G115" i="14"/>
  <c r="H110" i="14"/>
  <c r="G138" i="14"/>
  <c r="H146" i="14"/>
  <c r="G146" i="14"/>
  <c r="AE36" i="9"/>
  <c r="AC36" i="9"/>
  <c r="M37" i="9" s="1"/>
  <c r="AF36" i="9"/>
  <c r="L37" i="10"/>
  <c r="N32" i="10"/>
  <c r="L32" i="10"/>
  <c r="N17" i="10"/>
  <c r="H171" i="14"/>
  <c r="G171" i="14"/>
  <c r="L36" i="10"/>
  <c r="N36" i="10"/>
  <c r="H170" i="14"/>
  <c r="H45" i="18"/>
  <c r="G11" i="18"/>
  <c r="F111" i="14"/>
  <c r="H111" i="14" s="1"/>
  <c r="H11" i="18"/>
  <c r="G20" i="18"/>
  <c r="H42" i="18"/>
  <c r="D66" i="18"/>
  <c r="D113" i="14" s="1"/>
  <c r="G70" i="18"/>
  <c r="G29" i="18"/>
  <c r="D7" i="18"/>
  <c r="G16" i="18"/>
  <c r="G39" i="18"/>
  <c r="G42" i="18"/>
  <c r="D85" i="18"/>
  <c r="D114" i="14" s="1"/>
  <c r="H60" i="18"/>
  <c r="F33" i="18"/>
  <c r="F25" i="18" s="1"/>
  <c r="F68" i="18"/>
  <c r="G68" i="18" s="1"/>
  <c r="H70" i="18"/>
  <c r="G110" i="14"/>
  <c r="G60" i="18"/>
  <c r="G49" i="18"/>
  <c r="D33" i="18"/>
  <c r="D25" i="18" s="1"/>
  <c r="H57" i="18"/>
  <c r="E85" i="18"/>
  <c r="E114" i="14" s="1"/>
  <c r="H16" i="18"/>
  <c r="H49" i="18"/>
  <c r="C33" i="18"/>
  <c r="C25" i="18" s="1"/>
  <c r="C47" i="18" s="1"/>
  <c r="C112" i="14" s="1"/>
  <c r="H29" i="18"/>
  <c r="C66" i="18"/>
  <c r="C113" i="14" s="1"/>
  <c r="E33" i="18"/>
  <c r="E25" i="18" s="1"/>
  <c r="G57" i="18"/>
  <c r="E66" i="18"/>
  <c r="E113" i="14" s="1"/>
  <c r="C85" i="18"/>
  <c r="C114" i="14" s="1"/>
  <c r="F66" i="18"/>
  <c r="H115" i="14"/>
  <c r="F75" i="18"/>
  <c r="H39" i="18"/>
  <c r="G111" i="14"/>
  <c r="G77" i="18"/>
  <c r="H68" i="14"/>
  <c r="F50" i="14"/>
  <c r="D114" i="2"/>
  <c r="D44" i="14"/>
  <c r="D69" i="14" s="1"/>
  <c r="D36" i="14"/>
  <c r="D70" i="14" l="1"/>
  <c r="D115" i="2"/>
  <c r="D86" i="2"/>
  <c r="D118" i="2" s="1"/>
  <c r="D124" i="2" s="1"/>
  <c r="F106" i="2"/>
  <c r="F69" i="14"/>
  <c r="G69" i="14" s="1"/>
  <c r="H21" i="19"/>
  <c r="G21" i="19"/>
  <c r="E47" i="19"/>
  <c r="E108" i="14" s="1"/>
  <c r="G125" i="14"/>
  <c r="H125" i="14"/>
  <c r="G18" i="11"/>
  <c r="G17" i="11"/>
  <c r="H59" i="14"/>
  <c r="G59" i="14"/>
  <c r="G105" i="14"/>
  <c r="H105" i="14"/>
  <c r="G155" i="14"/>
  <c r="G44" i="14"/>
  <c r="E47" i="18"/>
  <c r="E112" i="14" s="1"/>
  <c r="E47" i="14"/>
  <c r="G78" i="2"/>
  <c r="E115" i="2"/>
  <c r="H78" i="2"/>
  <c r="G85" i="14"/>
  <c r="H85" i="14"/>
  <c r="C118" i="2"/>
  <c r="C124" i="2" s="1"/>
  <c r="C106" i="2"/>
  <c r="C111" i="2" s="1"/>
  <c r="C7" i="19" s="1"/>
  <c r="E86" i="2"/>
  <c r="H96" i="14"/>
  <c r="G96" i="14"/>
  <c r="I29" i="10"/>
  <c r="N23" i="10"/>
  <c r="L23" i="10"/>
  <c r="G128" i="14"/>
  <c r="H128" i="14"/>
  <c r="G80" i="14"/>
  <c r="H80" i="14"/>
  <c r="G8" i="11"/>
  <c r="Q37" i="9"/>
  <c r="AC37" i="9" s="1"/>
  <c r="E172" i="14"/>
  <c r="N37" i="10"/>
  <c r="G151" i="14"/>
  <c r="H151" i="14"/>
  <c r="E36" i="14"/>
  <c r="G35" i="14"/>
  <c r="H35" i="14"/>
  <c r="F108" i="14"/>
  <c r="F70" i="14"/>
  <c r="Y37" i="9"/>
  <c r="U37" i="9"/>
  <c r="D47" i="18"/>
  <c r="D112" i="14" s="1"/>
  <c r="D116" i="14" s="1"/>
  <c r="H68" i="18"/>
  <c r="F85" i="18"/>
  <c r="G85" i="18" s="1"/>
  <c r="E116" i="14"/>
  <c r="C116" i="14"/>
  <c r="F47" i="18"/>
  <c r="H47" i="18" s="1"/>
  <c r="G7" i="18"/>
  <c r="H7" i="18"/>
  <c r="H33" i="18"/>
  <c r="G33" i="18"/>
  <c r="E86" i="18"/>
  <c r="H66" i="18"/>
  <c r="F113" i="14"/>
  <c r="G66" i="18"/>
  <c r="G25" i="18"/>
  <c r="H25" i="18"/>
  <c r="H75" i="18"/>
  <c r="G75" i="18"/>
  <c r="C86" i="18"/>
  <c r="C89" i="18" s="1"/>
  <c r="F52" i="14"/>
  <c r="G13" i="11"/>
  <c r="F111" i="2"/>
  <c r="F61" i="14"/>
  <c r="H69" i="14"/>
  <c r="D50" i="14"/>
  <c r="D61" i="14" s="1"/>
  <c r="D66" i="14" s="1"/>
  <c r="D133" i="14" s="1"/>
  <c r="D106" i="2" l="1"/>
  <c r="D111" i="2" s="1"/>
  <c r="D7" i="19" s="1"/>
  <c r="D84" i="14" s="1"/>
  <c r="D94" i="14" s="1"/>
  <c r="G47" i="19"/>
  <c r="H47" i="19"/>
  <c r="E106" i="2"/>
  <c r="E118" i="2"/>
  <c r="H86" i="2"/>
  <c r="G86" i="2"/>
  <c r="G47" i="14"/>
  <c r="H47" i="14"/>
  <c r="E70" i="14"/>
  <c r="G70" i="14" s="1"/>
  <c r="F167" i="14"/>
  <c r="N29" i="10"/>
  <c r="L29" i="10"/>
  <c r="C84" i="14"/>
  <c r="C94" i="14" s="1"/>
  <c r="C19" i="19"/>
  <c r="G108" i="14"/>
  <c r="H108" i="14"/>
  <c r="D8" i="11"/>
  <c r="C51" i="14"/>
  <c r="H115" i="2"/>
  <c r="G115" i="2"/>
  <c r="E50" i="14"/>
  <c r="G36" i="14"/>
  <c r="H36" i="14"/>
  <c r="H172" i="14"/>
  <c r="G172" i="14"/>
  <c r="D86" i="18"/>
  <c r="D89" i="18" s="1"/>
  <c r="H85" i="18"/>
  <c r="F114" i="14"/>
  <c r="H114" i="14" s="1"/>
  <c r="G47" i="18"/>
  <c r="F86" i="18"/>
  <c r="F89" i="18" s="1"/>
  <c r="F112" i="14"/>
  <c r="H112" i="14" s="1"/>
  <c r="E89" i="18"/>
  <c r="G113" i="14"/>
  <c r="H113" i="14"/>
  <c r="F7" i="19"/>
  <c r="F66" i="14"/>
  <c r="D131" i="14"/>
  <c r="E10" i="11"/>
  <c r="E11" i="11"/>
  <c r="E9" i="11"/>
  <c r="D132" i="14"/>
  <c r="E8" i="11"/>
  <c r="D51" i="14"/>
  <c r="G114" i="14" l="1"/>
  <c r="D19" i="19"/>
  <c r="E124" i="2"/>
  <c r="G118" i="2"/>
  <c r="H118" i="2"/>
  <c r="E111" i="2"/>
  <c r="H106" i="2"/>
  <c r="G106" i="2"/>
  <c r="C52" i="14"/>
  <c r="D13" i="11"/>
  <c r="H167" i="14"/>
  <c r="G167" i="14"/>
  <c r="H70" i="14"/>
  <c r="E61" i="14"/>
  <c r="G50" i="14"/>
  <c r="H50" i="14"/>
  <c r="F116" i="14"/>
  <c r="H116" i="14" s="1"/>
  <c r="G112" i="14"/>
  <c r="G86" i="18"/>
  <c r="H86" i="18"/>
  <c r="G89" i="18"/>
  <c r="H89" i="18"/>
  <c r="F84" i="14"/>
  <c r="F19" i="19"/>
  <c r="G11" i="11"/>
  <c r="G10" i="11"/>
  <c r="E13" i="11"/>
  <c r="D52" i="14"/>
  <c r="E66" i="14" l="1"/>
  <c r="G61" i="14"/>
  <c r="H61" i="14"/>
  <c r="E7" i="19"/>
  <c r="G111" i="2"/>
  <c r="H111" i="2"/>
  <c r="E51" i="14"/>
  <c r="H124" i="2"/>
  <c r="G124" i="2"/>
  <c r="G116" i="14"/>
  <c r="G9" i="11"/>
  <c r="F94" i="14"/>
  <c r="E84" i="14" l="1"/>
  <c r="E19" i="19"/>
  <c r="H7" i="19"/>
  <c r="G7" i="19"/>
  <c r="E52" i="14"/>
  <c r="G51" i="14"/>
  <c r="H51" i="14"/>
  <c r="H66" i="14"/>
  <c r="G66" i="14"/>
  <c r="G19" i="19" l="1"/>
  <c r="H19" i="19"/>
  <c r="G52" i="14"/>
  <c r="H52" i="14"/>
  <c r="E94" i="14"/>
  <c r="H84" i="14"/>
  <c r="G84" i="14"/>
  <c r="H94" i="14" l="1"/>
  <c r="G94" i="14"/>
</calcChain>
</file>

<file path=xl/comments1.xml><?xml version="1.0" encoding="utf-8"?>
<comments xmlns="http://schemas.openxmlformats.org/spreadsheetml/2006/main">
  <authors>
    <author>T.EKONOMIST</author>
  </authors>
  <commentLis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T.EKONOMIST: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різниця витрати за мінус  лікарняних</t>
        </r>
      </text>
    </comment>
  </commentList>
</comments>
</file>

<file path=xl/sharedStrings.xml><?xml version="1.0" encoding="utf-8"?>
<sst xmlns="http://schemas.openxmlformats.org/spreadsheetml/2006/main" count="932" uniqueCount="596">
  <si>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</si>
  <si>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</si>
  <si>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</si>
  <si>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</si>
  <si>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</si>
  <si>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</si>
  <si>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</si>
  <si>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</si>
  <si>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</si>
  <si>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</si>
  <si>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</si>
  <si>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</si>
  <si>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</si>
  <si>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</si>
  <si>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</si>
  <si>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</si>
  <si>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</si>
  <si>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</si>
  <si>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</si>
  <si>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</si>
  <si>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</si>
  <si>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</si>
  <si>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</si>
  <si>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</si>
  <si>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</si>
  <si>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</si>
  <si>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</si>
  <si>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</si>
  <si>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</si>
  <si>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</si>
  <si>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</si>
  <si>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</si>
  <si>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</si>
  <si>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</si>
  <si>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</si>
  <si>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</si>
  <si>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</si>
  <si>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</si>
  <si>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</si>
  <si>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</si>
  <si>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</si>
  <si>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</si>
  <si>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</si>
  <si>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</si>
  <si>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</si>
  <si>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</si>
  <si>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</si>
  <si>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</si>
  <si>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</si>
  <si>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</si>
  <si>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</si>
  <si>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</si>
  <si>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</si>
  <si>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</si>
  <si>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</si>
  <si>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</si>
  <si>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</si>
  <si>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</si>
  <si>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</si>
  <si>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</si>
  <si>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</si>
  <si>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</si>
  <si>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</si>
  <si>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</si>
  <si>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</si>
  <si>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</si>
  <si>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</si>
  <si>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</si>
  <si>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</si>
  <si>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</si>
  <si>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</si>
  <si>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</si>
  <si>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</si>
  <si>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</si>
  <si>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</si>
  <si>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</si>
  <si>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</si>
  <si>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</si>
  <si>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</si>
  <si>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</si>
  <si>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</si>
  <si>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</si>
  <si>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</si>
  <si>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</si>
  <si>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</si>
  <si>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</si>
  <si>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</si>
  <si>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</si>
  <si>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</si>
  <si>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</si>
  <si>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</si>
  <si>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</si>
  <si>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</si>
  <si>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</si>
  <si>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адміністративні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</si>
  <si>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</si>
  <si>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</si>
  <si>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</si>
  <si>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</si>
  <si>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</si>
  <si>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</si>
  <si>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</si>
  <si>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</si>
  <si>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</si>
  <si>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</si>
  <si>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</si>
  <si>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</si>
  <si>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</si>
  <si>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</si>
  <si>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</si>
  <si>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</si>
  <si>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</si>
  <si>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</si>
  <si>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</si>
  <si>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</si>
  <si>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</si>
  <si>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</si>
  <si>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</si>
  <si>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</si>
  <si>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</si>
  <si>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</si>
  <si>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</si>
  <si>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</si>
  <si>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</si>
  <si>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</si>
  <si>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</si>
  <si>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</si>
  <si>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</si>
  <si>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</si>
  <si>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</si>
  <si>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</si>
  <si>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</si>
  <si>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</si>
  <si>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</si>
  <si>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</si>
  <si>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</si>
  <si>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</si>
  <si>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</si>
  <si>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</si>
  <si>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</si>
  <si>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</si>
  <si>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</si>
  <si>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</si>
  <si>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</si>
  <si>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</si>
  <si>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</si>
  <si>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</si>
  <si>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</si>
  <si>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</si>
  <si>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</si>
  <si>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</si>
  <si>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</si>
  <si>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</si>
  <si>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</si>
  <si>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</si>
  <si>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</si>
  <si>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</si>
  <si>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</si>
  <si>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</si>
  <si>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</si>
  <si>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</si>
  <si>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</si>
  <si>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</si>
  <si>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</si>
  <si>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</si>
  <si>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</si>
  <si>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</si>
  <si>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</si>
  <si>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</si>
  <si>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</si>
  <si>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</si>
  <si>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</si>
  <si>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</si>
  <si>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</si>
  <si>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</si>
  <si>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</si>
  <si>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</si>
  <si>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</si>
  <si>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</si>
  <si>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</si>
  <si>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</si>
  <si>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</si>
  <si>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</si>
  <si>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</si>
  <si>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</si>
  <si>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</si>
  <si>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</si>
  <si>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</si>
  <si>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</si>
  <si>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</si>
  <si>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</si>
  <si>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</si>
  <si>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</si>
  <si>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</si>
  <si>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</si>
  <si>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</si>
  <si>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</si>
  <si>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</si>
  <si>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</si>
  <si>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</si>
  <si>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</si>
  <si>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</si>
  <si>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</si>
  <si>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</si>
  <si>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</si>
  <si>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</si>
  <si>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</si>
  <si>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</si>
  <si>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</si>
  <si>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</si>
  <si>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</si>
  <si>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</si>
  <si>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</si>
  <si>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</si>
  <si>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</si>
  <si>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</si>
  <si>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</si>
  <si>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</si>
  <si>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</si>
  <si>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</si>
  <si>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</si>
  <si>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</si>
  <si>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</si>
  <si>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</si>
  <si>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</si>
  <si>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</si>
  <si>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</si>
  <si>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</si>
  <si>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</si>
  <si>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</si>
  <si>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</si>
  <si>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</si>
  <si>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</si>
  <si>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</si>
  <si>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</si>
  <si>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</si>
  <si>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</si>
  <si>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</si>
  <si>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</si>
  <si>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</si>
  <si>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</si>
  <si>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</si>
  <si>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</si>
  <si>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</si>
  <si>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</si>
  <si>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</si>
  <si>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</si>
  <si>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</si>
  <si>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</si>
  <si>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</si>
  <si>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</si>
  <si>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</si>
  <si>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</si>
  <si>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</si>
  <si>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</si>
  <si>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</si>
  <si>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</si>
  <si>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</si>
  <si>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</si>
  <si>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</si>
  <si>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</si>
  <si>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</si>
  <si>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</si>
  <si>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</si>
  <si>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</si>
  <si>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</si>
  <si>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</si>
  <si>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</si>
  <si>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</si>
  <si>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</si>
  <si>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</si>
  <si>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</si>
  <si>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</si>
  <si>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</si>
  <si>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</si>
  <si>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</si>
  <si>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</si>
  <si>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</si>
  <si>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</si>
  <si>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</si>
  <si>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</si>
  <si>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</si>
  <si>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</si>
  <si>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</si>
  <si>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</si>
  <si>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</si>
  <si>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</si>
  <si>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</si>
  <si>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</si>
  <si>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</si>
  <si>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</si>
  <si>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</si>
  <si>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</si>
  <si>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</si>
  <si>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</si>
  <si>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</si>
  <si>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</si>
  <si>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</si>
  <si>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</si>
  <si>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</si>
  <si>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</si>
  <si>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</si>
  <si>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</si>
  <si>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</si>
  <si>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</si>
  <si>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</si>
  <si>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</si>
  <si>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</si>
  <si>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</si>
  <si>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</si>
  <si>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</si>
  <si>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</si>
  <si>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</si>
  <si>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</si>
  <si>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</si>
  <si>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</si>
  <si>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</si>
  <si>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</si>
  <si>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</si>
  <si>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</si>
  <si>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</si>
  <si>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</si>
  <si>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</si>
  <si>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</si>
  <si>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</si>
  <si>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</si>
  <si>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</si>
  <si>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</si>
  <si>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</si>
  <si>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</si>
  <si>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</si>
  <si>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</si>
  <si>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</si>
  <si>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</si>
  <si>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</si>
  <si>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</si>
  <si>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</si>
  <si>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</si>
  <si>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</si>
  <si>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</si>
  <si>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</si>
  <si>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</si>
  <si>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</si>
  <si>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</si>
  <si>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</si>
  <si>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</si>
  <si>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</si>
  <si>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</si>
  <si>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</si>
  <si>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</si>
  <si>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</si>
  <si>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</si>
  <si>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</si>
  <si>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</si>
  <si>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</si>
  <si>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</si>
  <si>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</si>
  <si>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</si>
  <si>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</si>
  <si>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</si>
  <si>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</si>
  <si>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</si>
  <si>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</si>
  <si>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</si>
  <si>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</si>
  <si>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</si>
  <si>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</si>
  <si>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</si>
  <si>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</si>
  <si>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</si>
  <si>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</si>
  <si>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</si>
  <si>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</si>
  <si>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</si>
  <si>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</si>
  <si>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</si>
  <si>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</si>
  <si>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</si>
  <si>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</si>
  <si>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</si>
  <si>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</si>
  <si>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</si>
  <si>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</si>
  <si>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</si>
  <si>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</si>
  <si>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</si>
  <si>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</si>
  <si>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</si>
  <si>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</si>
  <si>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Надходження грошових коштів від операційної діяльності</t>
  </si>
  <si>
    <t>Цільове фінансування (розшифрувати)</t>
  </si>
  <si>
    <t>Витрачання грошових коштів від операційної діяльності</t>
  </si>
  <si>
    <t>інші зобов’язання з податків і зборів (розшифрувати)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</si>
  <si>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</si>
  <si>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</si>
  <si>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</si>
  <si>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</si>
  <si>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</si>
  <si>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</si>
  <si>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</si>
  <si>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</si>
  <si>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</si>
  <si>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</si>
  <si>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</si>
  <si>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</si>
  <si>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</si>
  <si>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</si>
  <si>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</si>
  <si>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>3270/1</t>
  </si>
  <si>
    <t xml:space="preserve">капітальне будівництво (розшифрувати) </t>
  </si>
  <si>
    <t>3270/2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</si>
  <si>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</si>
  <si>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</si>
  <si>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</si>
  <si>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</si>
  <si>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</si>
  <si>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</si>
  <si>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</si>
  <si>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</si>
  <si>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</si>
  <si>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</si>
  <si>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</si>
  <si>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</si>
  <si>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</si>
  <si>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 xml:space="preserve">керівник, усього, у тому числі: 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</si>
  <si>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</si>
  <si>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</si>
  <si>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</si>
  <si>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</si>
  <si>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</si>
  <si>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</si>
  <si>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</si>
  <si>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Середньомісячні витрати на оплату праці одного працівника (гривень), усього, у тому числі: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</si>
  <si>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</si>
  <si>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</si>
  <si>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</si>
  <si>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</si>
  <si>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</si>
  <si>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які 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</si>
  <si>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</si>
  <si>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</si>
  <si>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одного працівника, грн, усього, у тому числі: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</si>
  <si>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</si>
  <si>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</si>
  <si>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№ з/п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</si>
  <si>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</si>
  <si>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</si>
  <si>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 xml:space="preserve">      1. Дані про підприємство, персонал та витрати на оплату праці*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</si>
  <si>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</si>
  <si>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</si>
  <si>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</si>
  <si>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</si>
  <si>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(квартал)</t>
  </si>
  <si>
    <t>Звітний період (квартал)</t>
  </si>
  <si>
    <r>
      <t xml:space="preserve">Середня кількість працівників </t>
    </r>
    <r>
      <rPr>
        <sz val="14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  <charset val="204"/>
      </rPr>
      <t>, у тому числі:</t>
    </r>
  </si>
  <si>
    <t>1018/1</t>
  </si>
  <si>
    <t>1018/2</t>
  </si>
  <si>
    <t>1018/3</t>
  </si>
  <si>
    <t>1018/4</t>
  </si>
  <si>
    <t>1018/5</t>
  </si>
  <si>
    <t>послуги КАТП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</si>
  <si>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</si>
  <si>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</si>
  <si>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</si>
  <si>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</si>
  <si>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</si>
  <si>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</si>
  <si>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</si>
  <si>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</si>
  <si>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послуги банка</t>
  </si>
  <si>
    <t>витрати на гостовари, канцтовари</t>
  </si>
  <si>
    <t>ремонт і заправка картриджа</t>
  </si>
  <si>
    <t>1051/9</t>
  </si>
  <si>
    <t>1051/10</t>
  </si>
  <si>
    <t>1073/1</t>
  </si>
  <si>
    <t>1073/2</t>
  </si>
  <si>
    <t>1073/3</t>
  </si>
  <si>
    <t>1073/4</t>
  </si>
  <si>
    <t>1073/5</t>
  </si>
  <si>
    <t>дотація місцевого бюджету</t>
  </si>
  <si>
    <t>1152/1</t>
  </si>
  <si>
    <t>1152/3</t>
  </si>
  <si>
    <t>1152/4</t>
  </si>
  <si>
    <t>1152/5</t>
  </si>
  <si>
    <t>1152/6</t>
  </si>
  <si>
    <t>1152/7</t>
  </si>
  <si>
    <t>1152/8</t>
  </si>
  <si>
    <t>1152/9</t>
  </si>
  <si>
    <t>2119/1</t>
  </si>
  <si>
    <t>військовий збір</t>
  </si>
  <si>
    <t>податок на воду</t>
  </si>
  <si>
    <t>3040/1</t>
  </si>
  <si>
    <t>дотація з місцевого бюджету</t>
  </si>
  <si>
    <t>3070/1</t>
  </si>
  <si>
    <t>3070/2</t>
  </si>
  <si>
    <t>3070/3</t>
  </si>
  <si>
    <t>3070/4</t>
  </si>
  <si>
    <t>3157/1</t>
  </si>
  <si>
    <t>3170/1</t>
  </si>
  <si>
    <t xml:space="preserve"> </t>
  </si>
  <si>
    <t>добові</t>
  </si>
  <si>
    <t>оренда приміщень для проведення концертів</t>
  </si>
  <si>
    <t>реставрація, заправка картриджів</t>
  </si>
  <si>
    <t>обслуговування програми Медок, сертифікат ключів</t>
  </si>
  <si>
    <t>підписка періодичних видань</t>
  </si>
  <si>
    <t>інтернет</t>
  </si>
  <si>
    <t>1067/1</t>
  </si>
  <si>
    <t>1067/2</t>
  </si>
  <si>
    <t>1067/3</t>
  </si>
  <si>
    <t>1067/4</t>
  </si>
  <si>
    <t>послуги по організації концерту (оренда зала)</t>
  </si>
  <si>
    <t>вартість бланків, квитків, запрошень</t>
  </si>
  <si>
    <t>амортизація сценічних костюмів</t>
  </si>
  <si>
    <t>1162/1</t>
  </si>
  <si>
    <t>2134/1</t>
  </si>
  <si>
    <t>відрядження</t>
  </si>
  <si>
    <t>Комунальне підприємство Міський духовий оркестр Полтава</t>
  </si>
  <si>
    <t>придбання необоротних активів</t>
  </si>
  <si>
    <t>1086/7</t>
  </si>
  <si>
    <t>фінансування по лікарняним</t>
  </si>
  <si>
    <t>придбання  (створення) нематеріальних активів</t>
  </si>
  <si>
    <t>Орган місцевого самоврядування</t>
  </si>
  <si>
    <t>тис.грн</t>
  </si>
  <si>
    <t>Комунальне</t>
  </si>
  <si>
    <t>майдан Незалежності, 5, м.Полтава, Полтавська обл., 36000</t>
  </si>
  <si>
    <t>Культура і мистецтво</t>
  </si>
  <si>
    <t>відсотки банку, неустойка згідно договора</t>
  </si>
  <si>
    <t>Фінансові витрати (сценічні костюми, ноутбук, принтер)</t>
  </si>
  <si>
    <t>фінансування громадських робіт МБ</t>
  </si>
  <si>
    <t>фінансування громадських робіт МЦЗ</t>
  </si>
  <si>
    <t>3040/2</t>
  </si>
  <si>
    <t>3040/3</t>
  </si>
  <si>
    <t>2119/2</t>
  </si>
  <si>
    <t>інші податки та збори (за землю)</t>
  </si>
  <si>
    <t>послуги інтернетбілета</t>
  </si>
  <si>
    <t>списання необоротних активів</t>
  </si>
  <si>
    <t>вартість придбаних та переданих малоцінних необоротних активів</t>
  </si>
  <si>
    <t>Інші платежі (капітальний ремонт)</t>
  </si>
  <si>
    <t>Рік 2020</t>
  </si>
  <si>
    <t xml:space="preserve">придбання (створення) основних засобів (комп'ютерна техніка, музичні інструменти) </t>
  </si>
  <si>
    <t>придбання (створення) нематеріальних активів (сертифікат ключа Медок, антивірус))</t>
  </si>
  <si>
    <t>собівартість квитків, послуги інтернет білета</t>
  </si>
  <si>
    <t>безоплатно отримані основні засоби та необоротні активи</t>
  </si>
  <si>
    <t>амортизаційні відрахування придбаних сценічних костюмів, копіювального  апарата</t>
  </si>
  <si>
    <r>
      <t>за 2</t>
    </r>
    <r>
      <rPr>
        <b/>
        <u/>
        <sz val="14"/>
        <rFont val="Times New Roman"/>
        <family val="1"/>
        <charset val="204"/>
      </rPr>
      <t>-й   квартал</t>
    </r>
    <r>
      <rPr>
        <b/>
        <sz val="14"/>
        <rFont val="Times New Roman"/>
        <family val="1"/>
        <charset val="204"/>
      </rPr>
      <t xml:space="preserve"> 2020 р.</t>
    </r>
  </si>
  <si>
    <t>придбання госптоварів, канцтоварів</t>
  </si>
  <si>
    <t>3270/3</t>
  </si>
  <si>
    <t>придбання музичних інструментів</t>
  </si>
  <si>
    <t>поточні та капітальні трансферти</t>
  </si>
  <si>
    <t>послуги з утилізації захистних засобів</t>
  </si>
  <si>
    <t>придбання меблів</t>
  </si>
  <si>
    <t>обслуговування кондиціонерів</t>
  </si>
  <si>
    <t>Інші фінансові доходи (цільове фінансування на кап.вклад., пюпітри)</t>
  </si>
  <si>
    <t xml:space="preserve">                                                  Керівник </t>
  </si>
  <si>
    <t>Едуард ГОЛОВАШИЧ</t>
  </si>
  <si>
    <t>автотранспортні послуги</t>
  </si>
  <si>
    <t>1018/6</t>
  </si>
  <si>
    <r>
      <t xml:space="preserve">                                                </t>
    </r>
    <r>
      <rPr>
        <u/>
        <sz val="14"/>
        <rFont val="Times New Roman"/>
        <family val="1"/>
        <charset val="204"/>
      </rPr>
      <t xml:space="preserve"> Керівник</t>
    </r>
  </si>
  <si>
    <t>Едуард  ГОЛОВАШИЧ</t>
  </si>
  <si>
    <t>__________________</t>
  </si>
  <si>
    <t>фінансування на капітальні вкладення (3210)</t>
  </si>
  <si>
    <t>фінансування на придбання обладнання та оплату послуг (2240)</t>
  </si>
  <si>
    <t xml:space="preserve">відсотки </t>
  </si>
  <si>
    <r>
      <t xml:space="preserve">                                                 </t>
    </r>
    <r>
      <rPr>
        <u/>
        <sz val="14"/>
        <rFont val="Times New Roman"/>
        <family val="1"/>
        <charset val="204"/>
      </rPr>
      <t xml:space="preserve"> Керівник</t>
    </r>
  </si>
  <si>
    <r>
      <t xml:space="preserve">                                             </t>
    </r>
    <r>
      <rPr>
        <u/>
        <sz val="14"/>
        <rFont val="Times New Roman"/>
        <family val="1"/>
        <charset val="204"/>
      </rPr>
      <t xml:space="preserve"> Керівник</t>
    </r>
  </si>
  <si>
    <t xml:space="preserve">                                             </t>
  </si>
  <si>
    <t>90.01 Театральна і мистецьька діяльність</t>
  </si>
  <si>
    <t>до звіту про виконання фінансового плану за 2-й (квартал) 2020 р</t>
  </si>
  <si>
    <t>Комунальне підприємство МДО"Полтава"</t>
  </si>
  <si>
    <r>
      <t xml:space="preserve">                    </t>
    </r>
    <r>
      <rPr>
        <u/>
        <sz val="14"/>
        <rFont val="Times New Roman"/>
        <family val="1"/>
        <charset val="204"/>
      </rPr>
      <t>Керівник</t>
    </r>
  </si>
  <si>
    <t>___________________________</t>
  </si>
  <si>
    <r>
      <t xml:space="preserve">                             </t>
    </r>
    <r>
      <rPr>
        <u/>
        <sz val="16"/>
        <rFont val="Times New Roman"/>
        <family val="1"/>
        <charset val="204"/>
      </rPr>
      <t>Керівник</t>
    </r>
  </si>
  <si>
    <t>Комунальна</t>
  </si>
  <si>
    <t>Полтавська область, м.Полтава</t>
  </si>
  <si>
    <t>Театральна і мистецька діяльність</t>
  </si>
  <si>
    <t>Головашич Едуард Анатолійович</t>
  </si>
  <si>
    <t>90.01</t>
  </si>
  <si>
    <r>
      <t xml:space="preserve">                                      </t>
    </r>
    <r>
      <rPr>
        <u/>
        <sz val="14"/>
        <rFont val="Times New Roman"/>
        <family val="1"/>
        <charset val="204"/>
      </rPr>
      <t xml:space="preserve">          Керівник</t>
    </r>
  </si>
  <si>
    <r>
      <t xml:space="preserve">                                                </t>
    </r>
    <r>
      <rPr>
        <u/>
        <sz val="14"/>
        <rFont val="Times New Roman"/>
        <family val="1"/>
        <charset val="204"/>
      </rPr>
      <t>Керівник</t>
    </r>
  </si>
  <si>
    <t>_________________________________</t>
  </si>
  <si>
    <t>Наталія КРАВЧЕНКО</t>
  </si>
  <si>
    <r>
      <t xml:space="preserve">                                                </t>
    </r>
    <r>
      <rPr>
        <sz val="14"/>
        <rFont val="Times New Roman"/>
        <family val="1"/>
        <charset val="204"/>
      </rPr>
      <t>Головний бухгалтер</t>
    </r>
  </si>
  <si>
    <t>____________________________________________</t>
  </si>
  <si>
    <t xml:space="preserve">                                       Головний бухгалтер</t>
  </si>
  <si>
    <t>______________________________</t>
  </si>
  <si>
    <r>
      <t xml:space="preserve">                                                </t>
    </r>
    <r>
      <rPr>
        <u/>
        <sz val="14"/>
        <rFont val="Times New Roman"/>
        <family val="1"/>
        <charset val="204"/>
      </rPr>
      <t xml:space="preserve"> Головний бухгалтер</t>
    </r>
  </si>
  <si>
    <t>_________________</t>
  </si>
  <si>
    <t xml:space="preserve">                             Наталія КРАВЧЕНКО</t>
  </si>
  <si>
    <t>Головний бухгалтер</t>
  </si>
  <si>
    <r>
      <t xml:space="preserve">                                     </t>
    </r>
    <r>
      <rPr>
        <u/>
        <sz val="14"/>
        <rFont val="Times New Roman"/>
        <family val="1"/>
        <charset val="204"/>
      </rPr>
      <t>Головний бухгалтер</t>
    </r>
  </si>
  <si>
    <r>
      <t xml:space="preserve">                                          </t>
    </r>
    <r>
      <rPr>
        <u/>
        <sz val="14"/>
        <rFont val="Times New Roman"/>
        <family val="1"/>
        <charset val="204"/>
      </rPr>
      <t>Головний бухгалтер</t>
    </r>
  </si>
  <si>
    <r>
      <t xml:space="preserve">              </t>
    </r>
    <r>
      <rPr>
        <u/>
        <sz val="14"/>
        <rFont val="Times New Roman"/>
        <family val="1"/>
        <charset val="204"/>
      </rPr>
      <t>Головний бухгалтер</t>
    </r>
  </si>
  <si>
    <t>___________________________________________________</t>
  </si>
  <si>
    <t>____________________________</t>
  </si>
  <si>
    <r>
      <t xml:space="preserve">                                         </t>
    </r>
    <r>
      <rPr>
        <u/>
        <sz val="14"/>
        <rFont val="Times New Roman"/>
        <family val="1"/>
        <charset val="204"/>
      </rPr>
      <t xml:space="preserve"> Головний бухгалтер</t>
    </r>
  </si>
  <si>
    <t xml:space="preserve">                     Наталія КРАВЧЕНКО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</si>
</sst>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  <numFmt numFmtId="180" formatCode="_(* #,##0.00_);_(* \(#,##0.00\);_(* &quot;-&quot;_);_(@_)"/>
  </numFmts>
  <fonts count="8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name val="Arial Cyr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49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2" borderId="3" xfId="0" applyNumberFormat="1" applyFont="1" applyFill="1" applyBorder="1" applyAlignment="1">
      <alignment horizontal="center" vertical="center" wrapText="1"/>
    </xf>
    <xf numFmtId="170" fontId="5" fillId="22" borderId="19" xfId="0" applyNumberFormat="1" applyFont="1" applyFill="1" applyBorder="1" applyAlignment="1">
      <alignment horizontal="right" vertical="center" wrapText="1"/>
    </xf>
    <xf numFmtId="179" fontId="5" fillId="22" borderId="20" xfId="0" applyNumberFormat="1" applyFont="1" applyFill="1" applyBorder="1" applyAlignment="1">
      <alignment horizontal="center" vertical="center" wrapText="1"/>
    </xf>
    <xf numFmtId="170" fontId="5" fillId="22" borderId="20" xfId="0" applyNumberFormat="1" applyFont="1" applyFill="1" applyBorder="1" applyAlignment="1">
      <alignment horizontal="right" vertical="center" wrapText="1"/>
    </xf>
    <xf numFmtId="173" fontId="5" fillId="0" borderId="3" xfId="245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right" vertical="center" wrapText="1"/>
    </xf>
    <xf numFmtId="169" fontId="5" fillId="0" borderId="0" xfId="29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73" fontId="72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182" applyFont="1" applyFill="1" applyBorder="1" applyAlignment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quotePrefix="1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 applyProtection="1">
      <alignment horizontal="left" vertical="center" wrapText="1"/>
      <protection locked="0"/>
    </xf>
    <xf numFmtId="179" fontId="5" fillId="0" borderId="3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right" vertical="center" wrapText="1"/>
    </xf>
    <xf numFmtId="173" fontId="5" fillId="0" borderId="19" xfId="0" applyNumberFormat="1" applyFont="1" applyFill="1" applyBorder="1" applyAlignment="1">
      <alignment horizontal="right" vertical="center" wrapText="1"/>
    </xf>
    <xf numFmtId="173" fontId="5" fillId="0" borderId="20" xfId="0" applyNumberFormat="1" applyFont="1" applyFill="1" applyBorder="1" applyAlignment="1">
      <alignment horizontal="right" vertical="center" wrapText="1"/>
    </xf>
    <xf numFmtId="179" fontId="5" fillId="31" borderId="3" xfId="0" applyNumberFormat="1" applyFont="1" applyFill="1" applyBorder="1" applyAlignment="1">
      <alignment horizontal="center" vertical="center" wrapText="1"/>
    </xf>
    <xf numFmtId="170" fontId="5" fillId="31" borderId="21" xfId="237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/>
    </xf>
    <xf numFmtId="0" fontId="4" fillId="31" borderId="0" xfId="0" quotePrefix="1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 vertical="center"/>
    </xf>
    <xf numFmtId="173" fontId="4" fillId="0" borderId="3" xfId="291" applyNumberFormat="1" applyFont="1" applyFill="1" applyBorder="1" applyAlignment="1">
      <alignment horizontal="right" vertical="center" wrapText="1"/>
    </xf>
    <xf numFmtId="173" fontId="5" fillId="0" borderId="3" xfId="291" applyNumberFormat="1" applyFont="1" applyFill="1" applyBorder="1" applyAlignment="1">
      <alignment horizontal="right" vertical="center" wrapText="1"/>
    </xf>
    <xf numFmtId="173" fontId="4" fillId="0" borderId="17" xfId="245" applyNumberFormat="1" applyFont="1" applyFill="1" applyBorder="1" applyAlignment="1">
      <alignment horizontal="left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5" xfId="291" applyNumberFormat="1" applyFont="1" applyFill="1" applyBorder="1" applyAlignment="1">
      <alignment horizontal="right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5" fillId="0" borderId="16" xfId="291" applyNumberFormat="1" applyFont="1" applyFill="1" applyBorder="1" applyAlignment="1">
      <alignment horizontal="right" vertical="center" wrapText="1"/>
    </xf>
    <xf numFmtId="173" fontId="4" fillId="0" borderId="19" xfId="291" applyNumberFormat="1" applyFont="1" applyFill="1" applyBorder="1" applyAlignment="1">
      <alignment horizontal="right" vertical="center" wrapText="1"/>
    </xf>
    <xf numFmtId="177" fontId="5" fillId="29" borderId="3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4" fillId="27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30" borderId="3" xfId="0" applyNumberFormat="1" applyFont="1" applyFill="1" applyBorder="1" applyAlignment="1">
      <alignment horizontal="center" vertical="center" wrapText="1"/>
    </xf>
    <xf numFmtId="179" fontId="4" fillId="32" borderId="3" xfId="0" applyNumberFormat="1" applyFont="1" applyFill="1" applyBorder="1" applyAlignment="1">
      <alignment horizontal="center" vertical="center" wrapText="1"/>
    </xf>
    <xf numFmtId="179" fontId="5" fillId="31" borderId="19" xfId="0" applyNumberFormat="1" applyFont="1" applyFill="1" applyBorder="1" applyAlignment="1">
      <alignment horizontal="center" vertical="center" wrapText="1"/>
    </xf>
    <xf numFmtId="179" fontId="4" fillId="26" borderId="3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7" borderId="3" xfId="0" applyNumberFormat="1" applyFont="1" applyFill="1" applyBorder="1" applyAlignment="1">
      <alignment horizontal="center" vertical="center" wrapText="1"/>
    </xf>
    <xf numFmtId="179" fontId="4" fillId="27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5" fillId="30" borderId="19" xfId="0" applyNumberFormat="1" applyFont="1" applyFill="1" applyBorder="1" applyAlignment="1">
      <alignment horizontal="center" vertical="center" wrapText="1"/>
    </xf>
    <xf numFmtId="179" fontId="5" fillId="30" borderId="3" xfId="0" applyNumberFormat="1" applyFont="1" applyFill="1" applyBorder="1" applyAlignment="1">
      <alignment horizontal="center" vertical="center" wrapText="1"/>
    </xf>
    <xf numFmtId="179" fontId="5" fillId="30" borderId="15" xfId="0" applyNumberFormat="1" applyFont="1" applyFill="1" applyBorder="1" applyAlignment="1">
      <alignment horizontal="center" vertical="center" wrapText="1"/>
    </xf>
    <xf numFmtId="179" fontId="5" fillId="30" borderId="20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right" vertical="center" wrapText="1"/>
    </xf>
    <xf numFmtId="179" fontId="4" fillId="33" borderId="3" xfId="0" applyNumberFormat="1" applyFont="1" applyFill="1" applyBorder="1" applyAlignment="1">
      <alignment horizontal="center" vertical="center" wrapText="1"/>
    </xf>
    <xf numFmtId="179" fontId="5" fillId="33" borderId="3" xfId="0" applyNumberFormat="1" applyFont="1" applyFill="1" applyBorder="1" applyAlignment="1">
      <alignment horizontal="center" vertical="center" wrapText="1"/>
    </xf>
    <xf numFmtId="179" fontId="4" fillId="34" borderId="3" xfId="0" applyNumberFormat="1" applyFont="1" applyFill="1" applyBorder="1" applyAlignment="1">
      <alignment horizontal="right" wrapText="1"/>
    </xf>
    <xf numFmtId="179" fontId="4" fillId="31" borderId="3" xfId="0" applyNumberFormat="1" applyFont="1" applyFill="1" applyBorder="1" applyAlignment="1">
      <alignment horizontal="center" vertical="center" wrapText="1"/>
    </xf>
    <xf numFmtId="179" fontId="5" fillId="35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179" fontId="4" fillId="36" borderId="3" xfId="0" applyNumberFormat="1" applyFont="1" applyFill="1" applyBorder="1" applyAlignment="1">
      <alignment horizontal="center" vertical="center" wrapText="1"/>
    </xf>
    <xf numFmtId="169" fontId="5" fillId="27" borderId="3" xfId="245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9" fontId="5" fillId="29" borderId="3" xfId="0" applyNumberFormat="1" applyFont="1" applyFill="1" applyBorder="1" applyAlignment="1">
      <alignment horizontal="center" vertical="center" wrapText="1"/>
    </xf>
    <xf numFmtId="169" fontId="5" fillId="27" borderId="3" xfId="0" applyNumberFormat="1" applyFont="1" applyFill="1" applyBorder="1" applyAlignment="1">
      <alignment horizontal="center" vertical="center" wrapText="1"/>
    </xf>
    <xf numFmtId="179" fontId="4" fillId="27" borderId="15" xfId="0" applyNumberFormat="1" applyFont="1" applyFill="1" applyBorder="1" applyAlignment="1">
      <alignment horizontal="center" vertical="center" wrapText="1"/>
    </xf>
    <xf numFmtId="179" fontId="4" fillId="0" borderId="17" xfId="245" applyNumberFormat="1" applyFont="1" applyFill="1" applyBorder="1" applyAlignment="1">
      <alignment horizontal="left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0" fontId="5" fillId="31" borderId="3" xfId="237" applyNumberFormat="1" applyFont="1" applyFill="1" applyBorder="1" applyAlignment="1">
      <alignment horizontal="center" vertical="center" wrapText="1"/>
    </xf>
    <xf numFmtId="170" fontId="5" fillId="37" borderId="21" xfId="237" applyNumberFormat="1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169" fontId="77" fillId="0" borderId="0" xfId="0" applyNumberFormat="1" applyFont="1" applyFill="1" applyBorder="1" applyAlignment="1">
      <alignment horizontal="right"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76" fillId="0" borderId="0" xfId="0" applyFont="1" applyFill="1" applyAlignment="1">
      <alignment vertical="center"/>
    </xf>
    <xf numFmtId="0" fontId="5" fillId="31" borderId="19" xfId="0" applyFont="1" applyFill="1" applyBorder="1" applyAlignment="1">
      <alignment horizontal="center" vertical="center"/>
    </xf>
    <xf numFmtId="179" fontId="5" fillId="38" borderId="3" xfId="0" applyNumberFormat="1" applyFont="1" applyFill="1" applyBorder="1" applyAlignment="1">
      <alignment horizontal="center" vertical="center" wrapText="1"/>
    </xf>
    <xf numFmtId="179" fontId="4" fillId="38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vertical="center" wrapText="1"/>
    </xf>
    <xf numFmtId="0" fontId="5" fillId="31" borderId="17" xfId="0" applyFont="1" applyFill="1" applyBorder="1" applyAlignment="1">
      <alignment vertical="center" wrapText="1"/>
    </xf>
    <xf numFmtId="0" fontId="5" fillId="31" borderId="17" xfId="0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6" fillId="31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4" fillId="0" borderId="25" xfId="237" applyNumberFormat="1" applyFont="1" applyFill="1" applyBorder="1" applyAlignment="1">
      <alignment horizontal="center" vertical="center" wrapText="1"/>
    </xf>
    <xf numFmtId="0" fontId="4" fillId="0" borderId="26" xfId="237" applyNumberFormat="1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31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6" fillId="0" borderId="0" xfId="245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73" fontId="4" fillId="0" borderId="14" xfId="245" applyNumberFormat="1" applyFont="1" applyFill="1" applyBorder="1" applyAlignment="1">
      <alignment horizontal="center" vertical="center" wrapText="1"/>
    </xf>
    <xf numFmtId="173" fontId="4" fillId="0" borderId="17" xfId="245" applyNumberFormat="1" applyFont="1" applyFill="1" applyBorder="1" applyAlignment="1">
      <alignment horizontal="center" vertical="center" wrapText="1"/>
    </xf>
    <xf numFmtId="173" fontId="4" fillId="0" borderId="16" xfId="245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vertical="center" wrapText="1"/>
    </xf>
    <xf numFmtId="178" fontId="5" fillId="0" borderId="14" xfId="0" applyNumberFormat="1" applyFont="1" applyFill="1" applyBorder="1" applyAlignment="1">
      <alignment vertical="center" wrapText="1"/>
    </xf>
    <xf numFmtId="178" fontId="5" fillId="0" borderId="17" xfId="0" applyNumberFormat="1" applyFont="1" applyFill="1" applyBorder="1" applyAlignment="1">
      <alignment vertical="center" wrapText="1"/>
    </xf>
    <xf numFmtId="178" fontId="5" fillId="0" borderId="16" xfId="0" applyNumberFormat="1" applyFont="1" applyFill="1" applyBorder="1" applyAlignment="1">
      <alignment vertical="center" wrapText="1"/>
    </xf>
    <xf numFmtId="178" fontId="4" fillId="29" borderId="14" xfId="0" applyNumberFormat="1" applyFont="1" applyFill="1" applyBorder="1" applyAlignment="1">
      <alignment vertical="center" wrapText="1"/>
    </xf>
    <xf numFmtId="178" fontId="4" fillId="29" borderId="17" xfId="0" applyNumberFormat="1" applyFont="1" applyFill="1" applyBorder="1" applyAlignment="1">
      <alignment vertical="center" wrapText="1"/>
    </xf>
    <xf numFmtId="178" fontId="4" fillId="29" borderId="16" xfId="0" applyNumberFormat="1" applyFont="1" applyFill="1" applyBorder="1" applyAlignment="1">
      <alignment vertical="center" wrapText="1"/>
    </xf>
    <xf numFmtId="178" fontId="4" fillId="0" borderId="14" xfId="291" applyNumberFormat="1" applyFont="1" applyFill="1" applyBorder="1" applyAlignment="1">
      <alignment vertical="center" wrapText="1"/>
    </xf>
    <xf numFmtId="178" fontId="4" fillId="0" borderId="16" xfId="291" applyNumberFormat="1" applyFont="1" applyFill="1" applyBorder="1" applyAlignment="1">
      <alignment vertical="center" wrapText="1"/>
    </xf>
    <xf numFmtId="178" fontId="5" fillId="0" borderId="14" xfId="291" applyNumberFormat="1" applyFont="1" applyFill="1" applyBorder="1" applyAlignment="1">
      <alignment vertical="center" wrapText="1"/>
    </xf>
    <xf numFmtId="178" fontId="5" fillId="0" borderId="16" xfId="291" applyNumberFormat="1" applyFont="1" applyFill="1" applyBorder="1" applyAlignment="1">
      <alignment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31" borderId="14" xfId="0" applyNumberFormat="1" applyFont="1" applyFill="1" applyBorder="1" applyAlignment="1">
      <alignment vertical="center" wrapText="1"/>
    </xf>
    <xf numFmtId="178" fontId="5" fillId="31" borderId="17" xfId="0" applyNumberFormat="1" applyFont="1" applyFill="1" applyBorder="1" applyAlignment="1">
      <alignment vertical="center" wrapText="1"/>
    </xf>
    <xf numFmtId="178" fontId="5" fillId="31" borderId="16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178" fontId="5" fillId="29" borderId="14" xfId="0" applyNumberFormat="1" applyFont="1" applyFill="1" applyBorder="1" applyAlignment="1">
      <alignment vertical="center" wrapText="1"/>
    </xf>
    <xf numFmtId="178" fontId="5" fillId="29" borderId="17" xfId="0" applyNumberFormat="1" applyFont="1" applyFill="1" applyBorder="1" applyAlignment="1">
      <alignment vertical="center" wrapText="1"/>
    </xf>
    <xf numFmtId="178" fontId="5" fillId="29" borderId="16" xfId="0" applyNumberFormat="1" applyFont="1" applyFill="1" applyBorder="1" applyAlignment="1">
      <alignment vertical="center" wrapText="1"/>
    </xf>
    <xf numFmtId="178" fontId="4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 wrapText="1"/>
    </xf>
    <xf numFmtId="178" fontId="7" fillId="35" borderId="14" xfId="0" applyNumberFormat="1" applyFont="1" applyFill="1" applyBorder="1" applyAlignment="1">
      <alignment vertical="center" wrapText="1"/>
    </xf>
    <xf numFmtId="178" fontId="7" fillId="35" borderId="17" xfId="0" applyNumberFormat="1" applyFont="1" applyFill="1" applyBorder="1" applyAlignment="1">
      <alignment vertical="center" wrapText="1"/>
    </xf>
    <xf numFmtId="178" fontId="7" fillId="35" borderId="16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7" fontId="4" fillId="29" borderId="14" xfId="0" applyNumberFormat="1" applyFont="1" applyFill="1" applyBorder="1" applyAlignment="1">
      <alignment horizontal="center" vertical="center" wrapText="1"/>
    </xf>
    <xf numFmtId="177" fontId="4" fillId="29" borderId="16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29" borderId="14" xfId="0" applyNumberFormat="1" applyFont="1" applyFill="1" applyBorder="1" applyAlignment="1">
      <alignment horizontal="center" vertical="center" wrapText="1"/>
    </xf>
    <xf numFmtId="177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 wrapText="1"/>
    </xf>
    <xf numFmtId="178" fontId="4" fillId="0" borderId="17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vertical="center" wrapText="1"/>
    </xf>
    <xf numFmtId="178" fontId="4" fillId="31" borderId="14" xfId="0" applyNumberFormat="1" applyFont="1" applyFill="1" applyBorder="1" applyAlignment="1">
      <alignment vertical="center" wrapText="1"/>
    </xf>
    <xf numFmtId="178" fontId="4" fillId="31" borderId="17" xfId="0" applyNumberFormat="1" applyFont="1" applyFill="1" applyBorder="1" applyAlignment="1">
      <alignment vertical="center" wrapText="1"/>
    </xf>
    <xf numFmtId="178" fontId="4" fillId="31" borderId="1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5" fillId="0" borderId="0" xfId="0" applyFont="1" applyAlignment="1">
      <alignment vertical="center"/>
    </xf>
    <xf numFmtId="178" fontId="7" fillId="0" borderId="14" xfId="291" applyNumberFormat="1" applyFont="1" applyFill="1" applyBorder="1" applyAlignment="1">
      <alignment vertical="center" wrapText="1"/>
    </xf>
    <xf numFmtId="178" fontId="7" fillId="0" borderId="16" xfId="291" applyNumberFormat="1" applyFont="1" applyFill="1" applyBorder="1" applyAlignment="1">
      <alignment vertical="center" wrapText="1"/>
    </xf>
    <xf numFmtId="178" fontId="7" fillId="0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6" fillId="0" borderId="0" xfId="0" applyFont="1" applyFill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8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177" fontId="5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7" fontId="4" fillId="29" borderId="17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169" fontId="77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501"/>
  <sheetViews>
    <sheetView view="pageBreakPreview" zoomScale="71" zoomScaleNormal="82" zoomScaleSheetLayoutView="71" workbookViewId="0">
      <selection activeCell="D167" sqref="D167"/>
    </sheetView>
  </sheetViews>
  <sheetFormatPr defaultRowHeight="18.75"/>
  <cols>
    <col min="1" max="1" width="86.140625" style="3" customWidth="1"/>
    <col min="2" max="2" width="17.140625" style="24" customWidth="1"/>
    <col min="3" max="3" width="24" style="24" customWidth="1"/>
    <col min="4" max="4" width="21.85546875" style="24" customWidth="1"/>
    <col min="5" max="5" width="25.140625" style="24" customWidth="1"/>
    <col min="6" max="6" width="22.5703125" style="24" customWidth="1"/>
    <col min="7" max="7" width="20.42578125" style="24" customWidth="1"/>
    <col min="8" max="8" width="21.7109375" style="24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1"/>
      <c r="C1" s="21"/>
      <c r="D1" s="21"/>
      <c r="E1" s="3"/>
      <c r="F1" s="266" t="s">
        <v>157</v>
      </c>
      <c r="G1" s="266"/>
      <c r="H1" s="266"/>
      <c r="I1" s="120"/>
      <c r="J1" s="120"/>
      <c r="K1" s="120"/>
      <c r="L1" s="120"/>
    </row>
    <row r="2" spans="1:12" ht="18.75" customHeight="1">
      <c r="A2" s="79"/>
      <c r="E2" s="3"/>
      <c r="F2" s="266" t="s">
        <v>91</v>
      </c>
      <c r="G2" s="266"/>
      <c r="H2" s="266"/>
      <c r="I2" s="120"/>
      <c r="J2" s="120"/>
      <c r="K2" s="120"/>
      <c r="L2" s="120"/>
    </row>
    <row r="3" spans="1:12" ht="18.75" customHeight="1">
      <c r="A3" s="24"/>
      <c r="E3" s="78"/>
      <c r="F3" s="266" t="s">
        <v>171</v>
      </c>
      <c r="G3" s="266"/>
      <c r="H3" s="266"/>
      <c r="I3" s="120"/>
      <c r="J3" s="120"/>
      <c r="K3" s="120"/>
      <c r="L3" s="120"/>
    </row>
    <row r="4" spans="1:12" ht="18.75" customHeight="1">
      <c r="A4" s="24"/>
      <c r="E4" s="78"/>
      <c r="F4" s="266" t="s">
        <v>172</v>
      </c>
      <c r="G4" s="266"/>
      <c r="H4" s="266"/>
      <c r="I4" s="120"/>
      <c r="J4" s="120"/>
      <c r="K4" s="120"/>
      <c r="L4" s="120"/>
    </row>
    <row r="5" spans="1:12" ht="18.75" customHeight="1">
      <c r="A5" s="24"/>
      <c r="E5" s="78"/>
      <c r="F5" s="114" t="s">
        <v>435</v>
      </c>
      <c r="G5" s="78"/>
      <c r="H5" s="78"/>
      <c r="I5" s="120"/>
      <c r="J5" s="120"/>
      <c r="K5" s="120"/>
      <c r="L5" s="120"/>
    </row>
    <row r="6" spans="1:12" ht="18.75" customHeight="1">
      <c r="A6" s="24"/>
      <c r="E6" s="78"/>
      <c r="F6" s="78"/>
      <c r="G6" s="78"/>
      <c r="H6" s="78"/>
      <c r="I6" s="120"/>
      <c r="J6" s="120"/>
      <c r="K6" s="120"/>
      <c r="L6" s="120"/>
    </row>
    <row r="7" spans="1:12" ht="18.75" hidden="1" customHeight="1">
      <c r="A7" s="24"/>
      <c r="E7" s="78"/>
      <c r="F7" s="78"/>
      <c r="G7" s="78"/>
      <c r="H7" s="78"/>
      <c r="I7" s="120"/>
      <c r="J7" s="120"/>
      <c r="K7" s="120"/>
      <c r="L7" s="120"/>
    </row>
    <row r="8" spans="1:12">
      <c r="B8" s="4"/>
      <c r="C8" s="4"/>
      <c r="D8" s="4"/>
      <c r="F8" s="114"/>
    </row>
    <row r="9" spans="1:12" ht="20.100000000000001" customHeight="1">
      <c r="A9" s="75"/>
      <c r="B9" s="264"/>
      <c r="C9" s="264"/>
      <c r="D9" s="264"/>
      <c r="E9" s="264"/>
      <c r="F9" s="76"/>
      <c r="G9" s="41" t="s">
        <v>538</v>
      </c>
      <c r="H9" s="6" t="s">
        <v>417</v>
      </c>
    </row>
    <row r="10" spans="1:12" ht="20.100000000000001" customHeight="1">
      <c r="A10" s="80" t="s">
        <v>14</v>
      </c>
      <c r="B10" s="267" t="s">
        <v>516</v>
      </c>
      <c r="C10" s="267"/>
      <c r="D10" s="267"/>
      <c r="E10" s="267"/>
      <c r="F10" s="82"/>
      <c r="G10" s="14" t="s">
        <v>108</v>
      </c>
      <c r="H10" s="195">
        <v>23549970</v>
      </c>
    </row>
    <row r="11" spans="1:12" ht="20.100000000000001" customHeight="1">
      <c r="A11" s="75" t="s">
        <v>15</v>
      </c>
      <c r="B11" s="264" t="s">
        <v>572</v>
      </c>
      <c r="C11" s="264"/>
      <c r="D11" s="264"/>
      <c r="E11" s="264"/>
      <c r="F11" s="76"/>
      <c r="G11" s="14" t="s">
        <v>107</v>
      </c>
      <c r="H11" s="195">
        <v>150</v>
      </c>
    </row>
    <row r="12" spans="1:12" ht="20.100000000000001" customHeight="1">
      <c r="A12" s="75" t="s">
        <v>20</v>
      </c>
      <c r="B12" s="264" t="s">
        <v>573</v>
      </c>
      <c r="C12" s="264"/>
      <c r="D12" s="264"/>
      <c r="E12" s="264"/>
      <c r="F12" s="76"/>
      <c r="G12" s="14" t="s">
        <v>106</v>
      </c>
      <c r="H12" s="195">
        <v>5310100000</v>
      </c>
    </row>
    <row r="13" spans="1:12" ht="20.100000000000001" customHeight="1">
      <c r="A13" s="182" t="s">
        <v>436</v>
      </c>
      <c r="B13" s="264" t="s">
        <v>521</v>
      </c>
      <c r="C13" s="264"/>
      <c r="D13" s="264"/>
      <c r="E13" s="264"/>
      <c r="F13" s="82"/>
      <c r="G13" s="14" t="s">
        <v>9</v>
      </c>
      <c r="H13" s="195">
        <v>0</v>
      </c>
    </row>
    <row r="14" spans="1:12" ht="20.100000000000001" customHeight="1">
      <c r="A14" s="80" t="s">
        <v>17</v>
      </c>
      <c r="B14" s="264" t="s">
        <v>525</v>
      </c>
      <c r="C14" s="264"/>
      <c r="D14" s="264"/>
      <c r="E14" s="264"/>
      <c r="F14" s="82"/>
      <c r="G14" s="14" t="s">
        <v>8</v>
      </c>
      <c r="H14" s="195">
        <v>93000</v>
      </c>
    </row>
    <row r="15" spans="1:12" ht="20.100000000000001" customHeight="1">
      <c r="A15" s="80" t="s">
        <v>16</v>
      </c>
      <c r="B15" s="264" t="s">
        <v>574</v>
      </c>
      <c r="C15" s="264"/>
      <c r="D15" s="264"/>
      <c r="E15" s="264"/>
      <c r="F15" s="82"/>
      <c r="G15" s="14" t="s">
        <v>10</v>
      </c>
      <c r="H15" s="195" t="s">
        <v>576</v>
      </c>
    </row>
    <row r="16" spans="1:12" ht="20.100000000000001" customHeight="1">
      <c r="A16" s="80" t="s">
        <v>354</v>
      </c>
      <c r="B16" s="264" t="s">
        <v>522</v>
      </c>
      <c r="C16" s="264"/>
      <c r="D16" s="264"/>
      <c r="E16" s="264"/>
      <c r="F16" s="264" t="s">
        <v>132</v>
      </c>
      <c r="G16" s="268"/>
      <c r="H16" s="255"/>
    </row>
    <row r="17" spans="1:8" ht="20.100000000000001" customHeight="1">
      <c r="A17" s="80" t="s">
        <v>21</v>
      </c>
      <c r="B17" s="264" t="s">
        <v>523</v>
      </c>
      <c r="C17" s="264"/>
      <c r="D17" s="264"/>
      <c r="E17" s="264"/>
      <c r="F17" s="264" t="s">
        <v>133</v>
      </c>
      <c r="G17" s="265"/>
      <c r="H17" s="255"/>
    </row>
    <row r="18" spans="1:8" ht="20.100000000000001" customHeight="1">
      <c r="A18" s="80" t="s">
        <v>90</v>
      </c>
      <c r="B18" s="264">
        <v>38</v>
      </c>
      <c r="C18" s="264"/>
      <c r="D18" s="264"/>
      <c r="E18" s="264"/>
      <c r="F18" s="81"/>
      <c r="G18" s="81"/>
      <c r="H18" s="256"/>
    </row>
    <row r="19" spans="1:8" ht="20.100000000000001" customHeight="1">
      <c r="A19" s="75" t="s">
        <v>11</v>
      </c>
      <c r="B19" s="264" t="s">
        <v>524</v>
      </c>
      <c r="C19" s="264"/>
      <c r="D19" s="264"/>
      <c r="E19" s="264"/>
      <c r="F19" s="77"/>
      <c r="G19" s="77"/>
      <c r="H19" s="257"/>
    </row>
    <row r="20" spans="1:8" ht="20.100000000000001" customHeight="1">
      <c r="A20" s="80" t="s">
        <v>12</v>
      </c>
      <c r="B20" s="264"/>
      <c r="C20" s="264"/>
      <c r="D20" s="264"/>
      <c r="E20" s="264"/>
      <c r="F20" s="81"/>
      <c r="G20" s="81"/>
      <c r="H20" s="81"/>
    </row>
    <row r="21" spans="1:8" ht="20.100000000000001" customHeight="1">
      <c r="A21" s="75" t="s">
        <v>13</v>
      </c>
      <c r="B21" s="264" t="s">
        <v>575</v>
      </c>
      <c r="C21" s="264"/>
      <c r="D21" s="264"/>
      <c r="E21" s="264"/>
      <c r="F21" s="77"/>
      <c r="G21" s="77"/>
      <c r="H21" s="77"/>
    </row>
    <row r="22" spans="1:8" ht="19.5" customHeight="1">
      <c r="A22" s="78"/>
      <c r="B22" s="3"/>
      <c r="C22" s="3"/>
      <c r="D22" s="3"/>
      <c r="E22" s="3"/>
      <c r="F22" s="3"/>
      <c r="G22" s="3"/>
      <c r="H22" s="3"/>
    </row>
    <row r="23" spans="1:8" ht="19.5" customHeight="1">
      <c r="A23" s="281" t="s">
        <v>158</v>
      </c>
      <c r="B23" s="281"/>
      <c r="C23" s="281"/>
      <c r="D23" s="281"/>
      <c r="E23" s="281"/>
      <c r="F23" s="281"/>
      <c r="G23" s="281"/>
      <c r="H23" s="281"/>
    </row>
    <row r="24" spans="1:8">
      <c r="A24" s="281" t="s">
        <v>418</v>
      </c>
      <c r="B24" s="281"/>
      <c r="C24" s="281"/>
      <c r="D24" s="281"/>
      <c r="E24" s="281"/>
      <c r="F24" s="281"/>
      <c r="G24" s="281"/>
      <c r="H24" s="281"/>
    </row>
    <row r="25" spans="1:8">
      <c r="A25" s="281" t="s">
        <v>544</v>
      </c>
      <c r="B25" s="281"/>
      <c r="C25" s="281"/>
      <c r="D25" s="281"/>
      <c r="E25" s="281"/>
      <c r="F25" s="281"/>
      <c r="G25" s="281"/>
      <c r="H25" s="281"/>
    </row>
    <row r="26" spans="1:8">
      <c r="A26" s="284" t="s">
        <v>452</v>
      </c>
      <c r="B26" s="284"/>
      <c r="C26" s="284"/>
      <c r="D26" s="284"/>
      <c r="E26" s="284"/>
      <c r="F26" s="284"/>
      <c r="G26" s="284"/>
      <c r="H26" s="28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281" t="s">
        <v>139</v>
      </c>
      <c r="B28" s="281"/>
      <c r="C28" s="281"/>
      <c r="D28" s="281"/>
      <c r="E28" s="281"/>
      <c r="F28" s="281"/>
      <c r="G28" s="281"/>
      <c r="H28" s="281"/>
    </row>
    <row r="29" spans="1:8" ht="12" customHeight="1">
      <c r="B29" s="26"/>
      <c r="C29" s="26"/>
      <c r="D29" s="26"/>
      <c r="E29" s="26"/>
      <c r="F29" s="26"/>
      <c r="G29" s="26"/>
      <c r="H29" s="26"/>
    </row>
    <row r="30" spans="1:8" ht="33" customHeight="1">
      <c r="A30" s="282" t="s">
        <v>189</v>
      </c>
      <c r="B30" s="283" t="s">
        <v>18</v>
      </c>
      <c r="C30" s="283" t="s">
        <v>155</v>
      </c>
      <c r="D30" s="283"/>
      <c r="E30" s="285" t="s">
        <v>453</v>
      </c>
      <c r="F30" s="285"/>
      <c r="G30" s="285"/>
      <c r="H30" s="285"/>
    </row>
    <row r="31" spans="1:8" ht="28.5" customHeight="1">
      <c r="A31" s="282"/>
      <c r="B31" s="283"/>
      <c r="C31" s="7" t="s">
        <v>176</v>
      </c>
      <c r="D31" s="7" t="s">
        <v>177</v>
      </c>
      <c r="E31" s="247" t="s">
        <v>178</v>
      </c>
      <c r="F31" s="247" t="s">
        <v>166</v>
      </c>
      <c r="G31" s="73" t="s">
        <v>184</v>
      </c>
      <c r="H31" s="73" t="s">
        <v>185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69" t="s">
        <v>83</v>
      </c>
      <c r="B33" s="270"/>
      <c r="C33" s="270"/>
      <c r="D33" s="270"/>
      <c r="E33" s="270"/>
      <c r="F33" s="270"/>
      <c r="G33" s="270"/>
      <c r="H33" s="271"/>
    </row>
    <row r="34" spans="1:8" s="5" customFormat="1" ht="19.5" customHeight="1">
      <c r="A34" s="176" t="s">
        <v>140</v>
      </c>
      <c r="B34" s="177">
        <v>1000</v>
      </c>
      <c r="C34" s="207">
        <f>'I. Фін результат'!C7</f>
        <v>43.9</v>
      </c>
      <c r="D34" s="207">
        <f>'I. Фін результат'!D7</f>
        <v>90.2</v>
      </c>
      <c r="E34" s="207">
        <f>'I. Фін результат'!E7</f>
        <v>40</v>
      </c>
      <c r="F34" s="207">
        <f>'I. Фін результат'!F7</f>
        <v>0</v>
      </c>
      <c r="G34" s="207">
        <f>F34-E34</f>
        <v>-40</v>
      </c>
      <c r="H34" s="185">
        <f>(F34/E34)*100</f>
        <v>0</v>
      </c>
    </row>
    <row r="35" spans="1:8" s="5" customFormat="1" ht="20.100000000000001" customHeight="1">
      <c r="A35" s="87" t="s">
        <v>124</v>
      </c>
      <c r="B35" s="7">
        <v>1010</v>
      </c>
      <c r="C35" s="208">
        <f>'I. Фін результат'!C8</f>
        <v>-1531.1</v>
      </c>
      <c r="D35" s="208">
        <f>'I. Фін результат'!D8</f>
        <v>-1753.8999999999999</v>
      </c>
      <c r="E35" s="208">
        <f>'I. Фін результат'!E8</f>
        <v>-1220.4000000000001</v>
      </c>
      <c r="F35" s="208">
        <f>'I. Фін результат'!F8</f>
        <v>-1043.9000000000001</v>
      </c>
      <c r="G35" s="208">
        <f t="shared" ref="G35:G80" si="0">F35-E35</f>
        <v>176.5</v>
      </c>
      <c r="H35" s="186">
        <f t="shared" ref="H35:H80" si="1">(F35/E35)*100</f>
        <v>85.537528679121593</v>
      </c>
    </row>
    <row r="36" spans="1:8" s="5" customFormat="1" ht="20.100000000000001" customHeight="1">
      <c r="A36" s="88" t="s">
        <v>179</v>
      </c>
      <c r="B36" s="175">
        <v>1020</v>
      </c>
      <c r="C36" s="209">
        <f>SUM(C34:C35)</f>
        <v>-1487.1999999999998</v>
      </c>
      <c r="D36" s="209">
        <f>SUM(D34:D35)</f>
        <v>-1663.6999999999998</v>
      </c>
      <c r="E36" s="209">
        <f>SUM(E34:E35)</f>
        <v>-1180.4000000000001</v>
      </c>
      <c r="F36" s="209">
        <f>SUM(F34:F35)</f>
        <v>-1043.9000000000001</v>
      </c>
      <c r="G36" s="207">
        <f t="shared" si="0"/>
        <v>136.5</v>
      </c>
      <c r="H36" s="185">
        <f t="shared" si="1"/>
        <v>88.436123348017631</v>
      </c>
    </row>
    <row r="37" spans="1:8" s="5" customFormat="1" ht="20.100000000000001" customHeight="1">
      <c r="A37" s="87" t="s">
        <v>150</v>
      </c>
      <c r="B37" s="9">
        <v>1030</v>
      </c>
      <c r="C37" s="208">
        <f>'I. Фін результат'!C24</f>
        <v>-423.3</v>
      </c>
      <c r="D37" s="208">
        <f>'I. Фін результат'!D24</f>
        <v>-516.20000000000005</v>
      </c>
      <c r="E37" s="208">
        <f>'I. Фін результат'!E24</f>
        <v>-320.25</v>
      </c>
      <c r="F37" s="208">
        <f>'I. Фін результат'!F24</f>
        <v>-299.60000000000002</v>
      </c>
      <c r="G37" s="208">
        <f t="shared" si="0"/>
        <v>20.649999999999977</v>
      </c>
      <c r="H37" s="186">
        <f t="shared" si="1"/>
        <v>93.551912568306022</v>
      </c>
    </row>
    <row r="38" spans="1:8" s="5" customFormat="1" ht="20.100000000000001" customHeight="1">
      <c r="A38" s="8" t="s">
        <v>92</v>
      </c>
      <c r="B38" s="9">
        <v>1031</v>
      </c>
      <c r="C38" s="208">
        <f>'I. Фін результат'!C25</f>
        <v>0</v>
      </c>
      <c r="D38" s="208">
        <f>'I. Фін результат'!D25</f>
        <v>0</v>
      </c>
      <c r="E38" s="208">
        <f>'I. Фін результат'!E25</f>
        <v>0</v>
      </c>
      <c r="F38" s="208">
        <f>'I. Фін результат'!F25</f>
        <v>0</v>
      </c>
      <c r="G38" s="208">
        <f t="shared" si="0"/>
        <v>0</v>
      </c>
      <c r="H38" s="186" t="e">
        <f t="shared" si="1"/>
        <v>#DIV/0!</v>
      </c>
    </row>
    <row r="39" spans="1:8" s="5" customFormat="1" ht="20.100000000000001" customHeight="1">
      <c r="A39" s="8" t="s">
        <v>142</v>
      </c>
      <c r="B39" s="9">
        <v>1032</v>
      </c>
      <c r="C39" s="208">
        <f>'I. Фін результат'!C26</f>
        <v>0</v>
      </c>
      <c r="D39" s="208">
        <f>'I. Фін результат'!D26</f>
        <v>0</v>
      </c>
      <c r="E39" s="208">
        <f>'I. Фін результат'!E26</f>
        <v>0</v>
      </c>
      <c r="F39" s="208">
        <f>'I. Фін результат'!F26</f>
        <v>0</v>
      </c>
      <c r="G39" s="208">
        <f t="shared" si="0"/>
        <v>0</v>
      </c>
      <c r="H39" s="186" t="e">
        <f t="shared" si="1"/>
        <v>#DIV/0!</v>
      </c>
    </row>
    <row r="40" spans="1:8" s="5" customFormat="1" ht="20.100000000000001" customHeight="1">
      <c r="A40" s="8" t="s">
        <v>54</v>
      </c>
      <c r="B40" s="9">
        <v>1033</v>
      </c>
      <c r="C40" s="208">
        <f>'I. Фін результат'!C27</f>
        <v>0</v>
      </c>
      <c r="D40" s="208">
        <f>'I. Фін результат'!D27</f>
        <v>0</v>
      </c>
      <c r="E40" s="208">
        <f>'I. Фін результат'!E27</f>
        <v>0</v>
      </c>
      <c r="F40" s="208">
        <f>'I. Фін результат'!F27</f>
        <v>0</v>
      </c>
      <c r="G40" s="208">
        <f t="shared" si="0"/>
        <v>0</v>
      </c>
      <c r="H40" s="186" t="e">
        <f t="shared" si="1"/>
        <v>#DIV/0!</v>
      </c>
    </row>
    <row r="41" spans="1:8" s="5" customFormat="1" ht="20.100000000000001" customHeight="1">
      <c r="A41" s="8" t="s">
        <v>22</v>
      </c>
      <c r="B41" s="9">
        <v>1034</v>
      </c>
      <c r="C41" s="208">
        <f>'I. Фін результат'!C28</f>
        <v>0</v>
      </c>
      <c r="D41" s="208">
        <f>'I. Фін результат'!D28</f>
        <v>0</v>
      </c>
      <c r="E41" s="208">
        <f>'I. Фін результат'!E28</f>
        <v>0</v>
      </c>
      <c r="F41" s="208">
        <f>'I. Фін результат'!F28</f>
        <v>0</v>
      </c>
      <c r="G41" s="208">
        <f t="shared" si="0"/>
        <v>0</v>
      </c>
      <c r="H41" s="186" t="e">
        <f t="shared" si="1"/>
        <v>#DIV/0!</v>
      </c>
    </row>
    <row r="42" spans="1:8" s="5" customFormat="1" ht="20.100000000000001" customHeight="1">
      <c r="A42" s="8" t="s">
        <v>23</v>
      </c>
      <c r="B42" s="9">
        <v>1035</v>
      </c>
      <c r="C42" s="208">
        <f>'I. Фін результат'!C29</f>
        <v>0</v>
      </c>
      <c r="D42" s="208">
        <f>'I. Фін результат'!D29</f>
        <v>0</v>
      </c>
      <c r="E42" s="208">
        <f>'I. Фін результат'!E29</f>
        <v>0</v>
      </c>
      <c r="F42" s="208">
        <f>'I. Фін результат'!F29</f>
        <v>0</v>
      </c>
      <c r="G42" s="208">
        <f t="shared" si="0"/>
        <v>0</v>
      </c>
      <c r="H42" s="186" t="e">
        <f t="shared" si="1"/>
        <v>#DIV/0!</v>
      </c>
    </row>
    <row r="43" spans="1:8" s="5" customFormat="1" ht="19.5" customHeight="1">
      <c r="A43" s="87" t="s">
        <v>113</v>
      </c>
      <c r="B43" s="7">
        <v>1060</v>
      </c>
      <c r="C43" s="208">
        <f>'I. Фін результат'!C57</f>
        <v>-9.1</v>
      </c>
      <c r="D43" s="208">
        <f>'I. Фін результат'!D57</f>
        <v>-9.8000000000000007</v>
      </c>
      <c r="E43" s="208">
        <f>'I. Фін результат'!E57</f>
        <v>0</v>
      </c>
      <c r="F43" s="208">
        <f>'I. Фін результат'!F57</f>
        <v>0</v>
      </c>
      <c r="G43" s="208">
        <f t="shared" si="0"/>
        <v>0</v>
      </c>
      <c r="H43" s="186" t="e">
        <f t="shared" si="1"/>
        <v>#DIV/0!</v>
      </c>
    </row>
    <row r="44" spans="1:8" s="5" customFormat="1" ht="20.100000000000001" customHeight="1">
      <c r="A44" s="8" t="s">
        <v>222</v>
      </c>
      <c r="B44" s="9">
        <v>1070</v>
      </c>
      <c r="C44" s="208">
        <f>'I. Фін результат'!C69</f>
        <v>1933.2</v>
      </c>
      <c r="D44" s="208">
        <f>'I. Фін результат'!D69</f>
        <v>2237.9999999999995</v>
      </c>
      <c r="E44" s="208">
        <f>'I. Фін результат'!E69</f>
        <v>1508</v>
      </c>
      <c r="F44" s="208">
        <f>'I. Фін результат'!F69</f>
        <v>1337</v>
      </c>
      <c r="G44" s="208">
        <f t="shared" si="0"/>
        <v>-171</v>
      </c>
      <c r="H44" s="186">
        <f t="shared" si="1"/>
        <v>88.660477453580896</v>
      </c>
    </row>
    <row r="45" spans="1:8" s="5" customFormat="1" ht="20.100000000000001" customHeight="1">
      <c r="A45" s="8" t="s">
        <v>147</v>
      </c>
      <c r="B45" s="9">
        <v>1071</v>
      </c>
      <c r="C45" s="208">
        <f>'I. Фін результат'!C70</f>
        <v>0</v>
      </c>
      <c r="D45" s="208">
        <f>'I. Фін результат'!D70</f>
        <v>0</v>
      </c>
      <c r="E45" s="208">
        <f>'I. Фін результат'!E70</f>
        <v>0</v>
      </c>
      <c r="F45" s="208">
        <f>'I. Фін результат'!F70</f>
        <v>0</v>
      </c>
      <c r="G45" s="208">
        <f t="shared" si="0"/>
        <v>0</v>
      </c>
      <c r="H45" s="186" t="e">
        <f t="shared" si="1"/>
        <v>#DIV/0!</v>
      </c>
    </row>
    <row r="46" spans="1:8" s="5" customFormat="1" ht="20.100000000000001" customHeight="1">
      <c r="A46" s="8" t="s">
        <v>223</v>
      </c>
      <c r="B46" s="9">
        <v>1072</v>
      </c>
      <c r="C46" s="208">
        <f>'I. Фін результат'!C71</f>
        <v>0</v>
      </c>
      <c r="D46" s="208">
        <f>'I. Фін результат'!D71</f>
        <v>0</v>
      </c>
      <c r="E46" s="208">
        <f>'I. Фін результат'!E71</f>
        <v>0</v>
      </c>
      <c r="F46" s="208">
        <f>'I. Фін результат'!F71</f>
        <v>0</v>
      </c>
      <c r="G46" s="208">
        <f t="shared" si="0"/>
        <v>0</v>
      </c>
      <c r="H46" s="186" t="e">
        <f t="shared" si="1"/>
        <v>#DIV/0!</v>
      </c>
    </row>
    <row r="47" spans="1:8" s="5" customFormat="1" ht="19.5" customHeight="1">
      <c r="A47" s="92" t="s">
        <v>224</v>
      </c>
      <c r="B47" s="9">
        <v>1080</v>
      </c>
      <c r="C47" s="208">
        <f>'I. Фін результат'!C78</f>
        <v>0</v>
      </c>
      <c r="D47" s="208">
        <f>'I. Фін результат'!D78</f>
        <v>0</v>
      </c>
      <c r="E47" s="208">
        <f>'I. Фін результат'!E78</f>
        <v>0</v>
      </c>
      <c r="F47" s="208">
        <f>'I. Фін результат'!F78</f>
        <v>0</v>
      </c>
      <c r="G47" s="208">
        <f t="shared" si="0"/>
        <v>0</v>
      </c>
      <c r="H47" s="186" t="e">
        <f t="shared" si="1"/>
        <v>#DIV/0!</v>
      </c>
    </row>
    <row r="48" spans="1:8" s="5" customFormat="1" ht="20.100000000000001" customHeight="1">
      <c r="A48" s="8" t="s">
        <v>147</v>
      </c>
      <c r="B48" s="9">
        <v>1081</v>
      </c>
      <c r="C48" s="208">
        <f>'I. Фін результат'!C79</f>
        <v>0</v>
      </c>
      <c r="D48" s="208">
        <f>'I. Фін результат'!D79</f>
        <v>0</v>
      </c>
      <c r="E48" s="208">
        <f>'I. Фін результат'!E79</f>
        <v>0</v>
      </c>
      <c r="F48" s="208">
        <f>'I. Фін результат'!F79</f>
        <v>0</v>
      </c>
      <c r="G48" s="208">
        <f t="shared" si="0"/>
        <v>0</v>
      </c>
      <c r="H48" s="186" t="e">
        <f t="shared" si="1"/>
        <v>#DIV/0!</v>
      </c>
    </row>
    <row r="49" spans="1:8" s="5" customFormat="1" ht="20.100000000000001" customHeight="1">
      <c r="A49" s="8" t="s">
        <v>225</v>
      </c>
      <c r="B49" s="9">
        <v>1082</v>
      </c>
      <c r="C49" s="208">
        <f>'I. Фін результат'!C80</f>
        <v>0</v>
      </c>
      <c r="D49" s="208">
        <f>'I. Фін результат'!D80</f>
        <v>0</v>
      </c>
      <c r="E49" s="208">
        <f>'I. Фін результат'!E80</f>
        <v>0</v>
      </c>
      <c r="F49" s="208">
        <f>'I. Фін результат'!F80</f>
        <v>0</v>
      </c>
      <c r="G49" s="208">
        <f t="shared" si="0"/>
        <v>0</v>
      </c>
      <c r="H49" s="186" t="e">
        <f t="shared" si="1"/>
        <v>#DIV/0!</v>
      </c>
    </row>
    <row r="50" spans="1:8" s="5" customFormat="1" ht="20.100000000000001" customHeight="1">
      <c r="A50" s="10" t="s">
        <v>4</v>
      </c>
      <c r="B50" s="175">
        <v>1100</v>
      </c>
      <c r="C50" s="209">
        <f>SUM(C36,C37,C43,C44,C47)</f>
        <v>13.600000000000364</v>
      </c>
      <c r="D50" s="209">
        <f>SUM(D36,D37,D43,D44,D47)</f>
        <v>48.299999999999727</v>
      </c>
      <c r="E50" s="209">
        <f>SUM(E36,E37,E43,E44,E47)</f>
        <v>7.3499999999999091</v>
      </c>
      <c r="F50" s="209">
        <f>SUM(F36,F37,F43,F44,F47)</f>
        <v>-6.5</v>
      </c>
      <c r="G50" s="207">
        <f t="shared" si="0"/>
        <v>-13.849999999999909</v>
      </c>
      <c r="H50" s="185">
        <f t="shared" si="1"/>
        <v>-88.435374149660959</v>
      </c>
    </row>
    <row r="51" spans="1:8" s="5" customFormat="1" ht="19.5" customHeight="1">
      <c r="A51" s="89" t="s">
        <v>114</v>
      </c>
      <c r="B51" s="175">
        <v>1310</v>
      </c>
      <c r="C51" s="210">
        <f>'I. Фін результат'!C124</f>
        <v>38.000000000000362</v>
      </c>
      <c r="D51" s="210">
        <f>'I. Фін результат'!D124</f>
        <v>78.99999999999973</v>
      </c>
      <c r="E51" s="210">
        <f>'I. Фін результат'!E124</f>
        <v>25.349999999999909</v>
      </c>
      <c r="F51" s="210">
        <f>'I. Фін результат'!F124</f>
        <v>10.600000000000001</v>
      </c>
      <c r="G51" s="207">
        <f t="shared" si="0"/>
        <v>-14.749999999999908</v>
      </c>
      <c r="H51" s="185">
        <f t="shared" si="1"/>
        <v>41.814595660749667</v>
      </c>
    </row>
    <row r="52" spans="1:8" s="5" customFormat="1">
      <c r="A52" s="89" t="s">
        <v>152</v>
      </c>
      <c r="B52" s="175">
        <v>5010</v>
      </c>
      <c r="C52" s="211">
        <f>(C51/C34)*100</f>
        <v>86.560364464693308</v>
      </c>
      <c r="D52" s="211">
        <f>(D51/D34)*100</f>
        <v>87.583148558758012</v>
      </c>
      <c r="E52" s="211">
        <f>(E51/E34)*100</f>
        <v>63.374999999999773</v>
      </c>
      <c r="F52" s="211" t="e">
        <f>(F51/F34)*100</f>
        <v>#DIV/0!</v>
      </c>
      <c r="G52" s="207" t="e">
        <f t="shared" si="0"/>
        <v>#DIV/0!</v>
      </c>
      <c r="H52" s="185" t="e">
        <f t="shared" si="1"/>
        <v>#DIV/0!</v>
      </c>
    </row>
    <row r="53" spans="1:8" s="5" customFormat="1" ht="20.100000000000001" customHeight="1">
      <c r="A53" s="8" t="s">
        <v>226</v>
      </c>
      <c r="B53" s="9">
        <v>1110</v>
      </c>
      <c r="C53" s="208">
        <f>'I. Фін результат'!C87</f>
        <v>0</v>
      </c>
      <c r="D53" s="208">
        <f>'I. Фін результат'!D87</f>
        <v>0</v>
      </c>
      <c r="E53" s="208">
        <f>'I. Фін результат'!E87</f>
        <v>0</v>
      </c>
      <c r="F53" s="208">
        <f>'I. Фін результат'!F87</f>
        <v>0</v>
      </c>
      <c r="G53" s="208">
        <f t="shared" si="0"/>
        <v>0</v>
      </c>
      <c r="H53" s="186" t="e">
        <f t="shared" si="1"/>
        <v>#DIV/0!</v>
      </c>
    </row>
    <row r="54" spans="1:8" s="5" customFormat="1">
      <c r="A54" s="8" t="s">
        <v>227</v>
      </c>
      <c r="B54" s="9">
        <v>1120</v>
      </c>
      <c r="C54" s="208">
        <f>'I. Фін результат'!C88</f>
        <v>0</v>
      </c>
      <c r="D54" s="208">
        <f>'I. Фін результат'!D88</f>
        <v>0</v>
      </c>
      <c r="E54" s="208">
        <f>'I. Фін результат'!E88</f>
        <v>0</v>
      </c>
      <c r="F54" s="208">
        <f>'I. Фін результат'!F88</f>
        <v>0</v>
      </c>
      <c r="G54" s="208">
        <f t="shared" si="0"/>
        <v>0</v>
      </c>
      <c r="H54" s="186" t="e">
        <f t="shared" si="1"/>
        <v>#DIV/0!</v>
      </c>
    </row>
    <row r="55" spans="1:8" s="5" customFormat="1" ht="19.5" customHeight="1">
      <c r="A55" s="8" t="s">
        <v>228</v>
      </c>
      <c r="B55" s="9">
        <v>1130</v>
      </c>
      <c r="C55" s="208">
        <f>'I. Фін результат'!C89</f>
        <v>139.6</v>
      </c>
      <c r="D55" s="208">
        <f>'I. Фін результат'!D89</f>
        <v>12.2</v>
      </c>
      <c r="E55" s="208">
        <f>'I. Фін результат'!E89</f>
        <v>100</v>
      </c>
      <c r="F55" s="208">
        <f>'I. Фін результат'!F89</f>
        <v>12.2</v>
      </c>
      <c r="G55" s="208">
        <f t="shared" si="0"/>
        <v>-87.8</v>
      </c>
      <c r="H55" s="186">
        <f t="shared" si="1"/>
        <v>12.2</v>
      </c>
    </row>
    <row r="56" spans="1:8" s="5" customFormat="1" ht="20.100000000000001" customHeight="1">
      <c r="A56" s="8" t="s">
        <v>229</v>
      </c>
      <c r="B56" s="9">
        <v>1140</v>
      </c>
      <c r="C56" s="208">
        <f>'I. Фін результат'!C90</f>
        <v>-139.6</v>
      </c>
      <c r="D56" s="208">
        <f>'I. Фін результат'!D90</f>
        <v>-12.2</v>
      </c>
      <c r="E56" s="208">
        <f>'I. Фін результат'!E90</f>
        <v>-100</v>
      </c>
      <c r="F56" s="208">
        <f>'I. Фін результат'!F90</f>
        <v>-12.2</v>
      </c>
      <c r="G56" s="208">
        <f t="shared" si="0"/>
        <v>87.8</v>
      </c>
      <c r="H56" s="186">
        <f t="shared" si="1"/>
        <v>12.2</v>
      </c>
    </row>
    <row r="57" spans="1:8" s="5" customFormat="1" ht="20.100000000000001" customHeight="1">
      <c r="A57" s="8" t="s">
        <v>245</v>
      </c>
      <c r="B57" s="9">
        <v>1150</v>
      </c>
      <c r="C57" s="208">
        <f>'I. Фін результат'!C91</f>
        <v>0</v>
      </c>
      <c r="D57" s="208">
        <f>'I. Фін результат'!D91</f>
        <v>0</v>
      </c>
      <c r="E57" s="208">
        <f>'I. Фін результат'!E91</f>
        <v>0</v>
      </c>
      <c r="F57" s="208">
        <f>'I. Фін результат'!F91</f>
        <v>0</v>
      </c>
      <c r="G57" s="208">
        <f t="shared" si="0"/>
        <v>0</v>
      </c>
      <c r="H57" s="186" t="e">
        <f t="shared" si="1"/>
        <v>#DIV/0!</v>
      </c>
    </row>
    <row r="58" spans="1:8" s="5" customFormat="1" ht="20.100000000000001" customHeight="1">
      <c r="A58" s="8" t="s">
        <v>147</v>
      </c>
      <c r="B58" s="9">
        <v>1151</v>
      </c>
      <c r="C58" s="208">
        <f>'I. Фін результат'!C92</f>
        <v>0</v>
      </c>
      <c r="D58" s="208">
        <f>'I. Фін результат'!D92</f>
        <v>0</v>
      </c>
      <c r="E58" s="208">
        <f>'I. Фін результат'!E92</f>
        <v>0</v>
      </c>
      <c r="F58" s="208">
        <f>'I. Фін результат'!F92</f>
        <v>0</v>
      </c>
      <c r="G58" s="208">
        <f t="shared" si="0"/>
        <v>0</v>
      </c>
      <c r="H58" s="186" t="e">
        <f t="shared" si="1"/>
        <v>#DIV/0!</v>
      </c>
    </row>
    <row r="59" spans="1:8" s="5" customFormat="1" ht="20.100000000000001" customHeight="1">
      <c r="A59" s="8" t="s">
        <v>247</v>
      </c>
      <c r="B59" s="9">
        <v>1160</v>
      </c>
      <c r="C59" s="208">
        <f>'I. Фін результат'!C102</f>
        <v>0</v>
      </c>
      <c r="D59" s="208">
        <f>'I. Фін результат'!D102</f>
        <v>0</v>
      </c>
      <c r="E59" s="208">
        <f>'I. Фін результат'!E102</f>
        <v>0</v>
      </c>
      <c r="F59" s="208">
        <f>'I. Фін результат'!F102</f>
        <v>0</v>
      </c>
      <c r="G59" s="208">
        <f t="shared" si="0"/>
        <v>0</v>
      </c>
      <c r="H59" s="186" t="e">
        <f t="shared" si="1"/>
        <v>#DIV/0!</v>
      </c>
    </row>
    <row r="60" spans="1:8" s="5" customFormat="1" ht="19.5" customHeight="1">
      <c r="A60" s="8" t="s">
        <v>147</v>
      </c>
      <c r="B60" s="9">
        <v>1161</v>
      </c>
      <c r="C60" s="208">
        <f>'I. Фін результат'!C103</f>
        <v>0</v>
      </c>
      <c r="D60" s="208">
        <f>'I. Фін результат'!D103</f>
        <v>0</v>
      </c>
      <c r="E60" s="208">
        <f>'I. Фін результат'!E103</f>
        <v>0</v>
      </c>
      <c r="F60" s="208">
        <f>'I. Фін результат'!F103</f>
        <v>0</v>
      </c>
      <c r="G60" s="208">
        <f t="shared" si="0"/>
        <v>0</v>
      </c>
      <c r="H60" s="186" t="e">
        <f t="shared" si="1"/>
        <v>#DIV/0!</v>
      </c>
    </row>
    <row r="61" spans="1:8" s="5" customFormat="1" ht="19.5" customHeight="1">
      <c r="A61" s="89" t="s">
        <v>82</v>
      </c>
      <c r="B61" s="178">
        <v>1170</v>
      </c>
      <c r="C61" s="209">
        <f>SUM(C50,C53:C57,C59)</f>
        <v>13.600000000000364</v>
      </c>
      <c r="D61" s="209">
        <f>SUM(D50,D53:D57,D59)</f>
        <v>48.299999999999727</v>
      </c>
      <c r="E61" s="209">
        <f>SUM(E50,E53:E57,E59)</f>
        <v>7.3499999999999091</v>
      </c>
      <c r="F61" s="209">
        <f>SUM(F50,F53:F57,F59)</f>
        <v>-6.5</v>
      </c>
      <c r="G61" s="207">
        <f t="shared" si="0"/>
        <v>-13.849999999999909</v>
      </c>
      <c r="H61" s="185">
        <f t="shared" si="1"/>
        <v>-88.435374149660959</v>
      </c>
    </row>
    <row r="62" spans="1:8" s="5" customFormat="1" ht="20.100000000000001" customHeight="1">
      <c r="A62" s="8" t="s">
        <v>238</v>
      </c>
      <c r="B62" s="7">
        <v>1180</v>
      </c>
      <c r="C62" s="208">
        <f>'I. Фін результат'!C107</f>
        <v>0</v>
      </c>
      <c r="D62" s="208">
        <f>'I. Фін результат'!D107</f>
        <v>0</v>
      </c>
      <c r="E62" s="208">
        <f>'I. Фін результат'!E107</f>
        <v>0</v>
      </c>
      <c r="F62" s="208">
        <f>'I. Фін результат'!F107</f>
        <v>0</v>
      </c>
      <c r="G62" s="208">
        <f t="shared" si="0"/>
        <v>0</v>
      </c>
      <c r="H62" s="186" t="e">
        <f t="shared" si="1"/>
        <v>#DIV/0!</v>
      </c>
    </row>
    <row r="63" spans="1:8" s="5" customFormat="1" ht="20.100000000000001" customHeight="1">
      <c r="A63" s="8" t="s">
        <v>239</v>
      </c>
      <c r="B63" s="7">
        <v>1181</v>
      </c>
      <c r="C63" s="208">
        <f>'I. Фін результат'!C108</f>
        <v>0</v>
      </c>
      <c r="D63" s="208">
        <f>'I. Фін результат'!D108</f>
        <v>0</v>
      </c>
      <c r="E63" s="208">
        <f>'I. Фін результат'!E108</f>
        <v>0</v>
      </c>
      <c r="F63" s="208">
        <f>'I. Фін результат'!F108</f>
        <v>0</v>
      </c>
      <c r="G63" s="208">
        <f t="shared" si="0"/>
        <v>0</v>
      </c>
      <c r="H63" s="186" t="e">
        <f t="shared" si="1"/>
        <v>#DIV/0!</v>
      </c>
    </row>
    <row r="64" spans="1:8" s="5" customFormat="1" ht="20.100000000000001" customHeight="1">
      <c r="A64" s="8" t="s">
        <v>240</v>
      </c>
      <c r="B64" s="9">
        <v>1190</v>
      </c>
      <c r="C64" s="208">
        <f>'I. Фін результат'!C109</f>
        <v>0</v>
      </c>
      <c r="D64" s="208">
        <f>'I. Фін результат'!D109</f>
        <v>0</v>
      </c>
      <c r="E64" s="208">
        <f>'I. Фін результат'!E109</f>
        <v>0</v>
      </c>
      <c r="F64" s="208">
        <f>'I. Фін результат'!F109</f>
        <v>0</v>
      </c>
      <c r="G64" s="208">
        <f t="shared" si="0"/>
        <v>0</v>
      </c>
      <c r="H64" s="186" t="e">
        <f t="shared" si="1"/>
        <v>#DIV/0!</v>
      </c>
    </row>
    <row r="65" spans="1:8" s="5" customFormat="1" ht="20.100000000000001" customHeight="1">
      <c r="A65" s="8" t="s">
        <v>241</v>
      </c>
      <c r="B65" s="6">
        <v>1191</v>
      </c>
      <c r="C65" s="208">
        <f>'I. Фін результат'!C110</f>
        <v>0</v>
      </c>
      <c r="D65" s="208">
        <f>'I. Фін результат'!D110</f>
        <v>0</v>
      </c>
      <c r="E65" s="208">
        <f>'I. Фін результат'!E110</f>
        <v>0</v>
      </c>
      <c r="F65" s="208">
        <f>'I. Фін результат'!F110</f>
        <v>0</v>
      </c>
      <c r="G65" s="208">
        <f t="shared" si="0"/>
        <v>0</v>
      </c>
      <c r="H65" s="186" t="e">
        <f t="shared" si="1"/>
        <v>#DIV/0!</v>
      </c>
    </row>
    <row r="66" spans="1:8" s="5" customFormat="1" ht="20.100000000000001" customHeight="1">
      <c r="A66" s="10" t="s">
        <v>268</v>
      </c>
      <c r="B66" s="11">
        <v>1200</v>
      </c>
      <c r="C66" s="209">
        <f>SUM(C61:C65)</f>
        <v>13.600000000000364</v>
      </c>
      <c r="D66" s="209">
        <f>SUM(D61:D65)</f>
        <v>48.299999999999727</v>
      </c>
      <c r="E66" s="209">
        <f>SUM(E61:E65)</f>
        <v>7.3499999999999091</v>
      </c>
      <c r="F66" s="212">
        <f>SUM(F61:F65)</f>
        <v>-6.5</v>
      </c>
      <c r="G66" s="207">
        <f t="shared" si="0"/>
        <v>-13.849999999999909</v>
      </c>
      <c r="H66" s="185">
        <f t="shared" si="1"/>
        <v>-88.435374149660959</v>
      </c>
    </row>
    <row r="67" spans="1:8" s="5" customFormat="1" ht="20.100000000000001" customHeight="1">
      <c r="A67" s="8" t="s">
        <v>382</v>
      </c>
      <c r="B67" s="6">
        <v>1201</v>
      </c>
      <c r="C67" s="208">
        <f>'I. Фін результат'!C112</f>
        <v>13.6</v>
      </c>
      <c r="D67" s="208">
        <f>'I. Фін результат'!D112</f>
        <v>48.3</v>
      </c>
      <c r="E67" s="208">
        <f>'I. Фін результат'!E112</f>
        <v>7.3</v>
      </c>
      <c r="F67" s="213">
        <f>'I. Фін результат'!F112</f>
        <v>0</v>
      </c>
      <c r="G67" s="208">
        <f t="shared" si="0"/>
        <v>-7.3</v>
      </c>
      <c r="H67" s="186">
        <f t="shared" si="1"/>
        <v>0</v>
      </c>
    </row>
    <row r="68" spans="1:8" s="5" customFormat="1" ht="20.100000000000001" customHeight="1">
      <c r="A68" s="8" t="s">
        <v>383</v>
      </c>
      <c r="B68" s="6">
        <v>1202</v>
      </c>
      <c r="C68" s="208">
        <f>'I. Фін результат'!C113</f>
        <v>0</v>
      </c>
      <c r="D68" s="208">
        <f>'I. Фін результат'!D113</f>
        <v>0</v>
      </c>
      <c r="E68" s="208">
        <f>'I. Фін результат'!E113</f>
        <v>0</v>
      </c>
      <c r="F68" s="213">
        <f>'I. Фін результат'!F113</f>
        <v>-6.5</v>
      </c>
      <c r="G68" s="208">
        <f t="shared" si="0"/>
        <v>-6.5</v>
      </c>
      <c r="H68" s="186" t="e">
        <f t="shared" si="1"/>
        <v>#DIV/0!</v>
      </c>
    </row>
    <row r="69" spans="1:8" s="5" customFormat="1" ht="20.100000000000001" customHeight="1">
      <c r="A69" s="10" t="s">
        <v>19</v>
      </c>
      <c r="B69" s="9">
        <v>1210</v>
      </c>
      <c r="C69" s="214">
        <f>SUM(C34,C44,C53,C55,C57,C63,C64)</f>
        <v>2116.7000000000003</v>
      </c>
      <c r="D69" s="214">
        <f>SUM(D34,D44,D53,D55,D57,D63,D64)</f>
        <v>2340.3999999999992</v>
      </c>
      <c r="E69" s="214">
        <f>SUM(E34,E44,E53,E55,E57,E63,E64)</f>
        <v>1648</v>
      </c>
      <c r="F69" s="214">
        <f>SUM(F34,F44,F53,F55,F57,F63,F64)</f>
        <v>1349.2</v>
      </c>
      <c r="G69" s="208">
        <f t="shared" si="0"/>
        <v>-298.79999999999995</v>
      </c>
      <c r="H69" s="186">
        <f t="shared" si="1"/>
        <v>81.868932038834956</v>
      </c>
    </row>
    <row r="70" spans="1:8" s="5" customFormat="1" ht="19.5" customHeight="1">
      <c r="A70" s="10" t="s">
        <v>98</v>
      </c>
      <c r="B70" s="9">
        <v>1220</v>
      </c>
      <c r="C70" s="214">
        <f>SUM(C35,C37,C43,C47,C54,C56,C59,C62,C65)</f>
        <v>-2103.1</v>
      </c>
      <c r="D70" s="214">
        <f>SUM(D35,D37,D43,D47,D54,D56,D59,D62,D65)</f>
        <v>-2292.1</v>
      </c>
      <c r="E70" s="214">
        <f>SUM(E35,E37,E43,E47,E54,E56,E59,E62,E65)</f>
        <v>-1640.65</v>
      </c>
      <c r="F70" s="214">
        <f>SUM(F35,F37,F43,F47,F54,F56,F59,F62,F65)</f>
        <v>-1355.7</v>
      </c>
      <c r="G70" s="208">
        <f t="shared" si="0"/>
        <v>284.95000000000005</v>
      </c>
      <c r="H70" s="186">
        <f t="shared" si="1"/>
        <v>82.63188370462926</v>
      </c>
    </row>
    <row r="71" spans="1:8" s="5" customFormat="1" ht="20.100000000000001" customHeight="1">
      <c r="A71" s="8" t="s">
        <v>175</v>
      </c>
      <c r="B71" s="9">
        <v>1230</v>
      </c>
      <c r="C71" s="208">
        <f>'I. Фін результат'!C116</f>
        <v>0</v>
      </c>
      <c r="D71" s="208">
        <f>'I. Фін результат'!D116</f>
        <v>0</v>
      </c>
      <c r="E71" s="208">
        <f>'I. Фін результат'!E116</f>
        <v>0</v>
      </c>
      <c r="F71" s="208">
        <f>'I. Фін результат'!F116</f>
        <v>0</v>
      </c>
      <c r="G71" s="208">
        <f t="shared" si="0"/>
        <v>0</v>
      </c>
      <c r="H71" s="186" t="e">
        <f t="shared" si="1"/>
        <v>#DIV/0!</v>
      </c>
    </row>
    <row r="72" spans="1:8" s="5" customFormat="1" ht="20.100000000000001" customHeight="1">
      <c r="A72" s="10" t="s">
        <v>154</v>
      </c>
      <c r="B72" s="11"/>
      <c r="C72" s="215"/>
      <c r="D72" s="216"/>
      <c r="E72" s="216"/>
      <c r="F72" s="216"/>
      <c r="G72" s="207">
        <f t="shared" si="0"/>
        <v>0</v>
      </c>
      <c r="H72" s="185" t="e">
        <f t="shared" si="1"/>
        <v>#DIV/0!</v>
      </c>
    </row>
    <row r="73" spans="1:8" s="5" customFormat="1" ht="19.5" customHeight="1">
      <c r="A73" s="8" t="s">
        <v>187</v>
      </c>
      <c r="B73" s="9">
        <v>1400</v>
      </c>
      <c r="C73" s="208">
        <f>'I. Фін результат'!C126</f>
        <v>2.5</v>
      </c>
      <c r="D73" s="208">
        <f>'I. Фін результат'!D126</f>
        <v>3.3</v>
      </c>
      <c r="E73" s="208">
        <f>'I. Фін результат'!E126</f>
        <v>0</v>
      </c>
      <c r="F73" s="208">
        <f>'I. Фін результат'!F126</f>
        <v>0</v>
      </c>
      <c r="G73" s="208">
        <f t="shared" si="0"/>
        <v>0</v>
      </c>
      <c r="H73" s="186" t="e">
        <f t="shared" si="1"/>
        <v>#DIV/0!</v>
      </c>
    </row>
    <row r="74" spans="1:8" s="5" customFormat="1" ht="20.100000000000001" customHeight="1">
      <c r="A74" s="8" t="s">
        <v>188</v>
      </c>
      <c r="B74" s="40">
        <v>1401</v>
      </c>
      <c r="C74" s="208">
        <f>'I. Фін результат'!C127</f>
        <v>0</v>
      </c>
      <c r="D74" s="208">
        <f>'I. Фін результат'!D127</f>
        <v>3.3</v>
      </c>
      <c r="E74" s="208">
        <f>'I. Фін результат'!E127</f>
        <v>0</v>
      </c>
      <c r="F74" s="208">
        <f>'I. Фін результат'!F127</f>
        <v>0</v>
      </c>
      <c r="G74" s="208">
        <f t="shared" si="0"/>
        <v>0</v>
      </c>
      <c r="H74" s="186" t="e">
        <f t="shared" si="1"/>
        <v>#DIV/0!</v>
      </c>
    </row>
    <row r="75" spans="1:8" s="5" customFormat="1" ht="20.100000000000001" customHeight="1">
      <c r="A75" s="8" t="s">
        <v>28</v>
      </c>
      <c r="B75" s="40">
        <v>1402</v>
      </c>
      <c r="C75" s="208">
        <f>'I. Фін результат'!C128</f>
        <v>0</v>
      </c>
      <c r="D75" s="208">
        <f>'I. Фін результат'!D128</f>
        <v>0</v>
      </c>
      <c r="E75" s="208">
        <f>'I. Фін результат'!E128</f>
        <v>0</v>
      </c>
      <c r="F75" s="208">
        <f>'I. Фін результат'!F128</f>
        <v>0</v>
      </c>
      <c r="G75" s="208">
        <f t="shared" si="0"/>
        <v>0</v>
      </c>
      <c r="H75" s="186" t="e">
        <f t="shared" si="1"/>
        <v>#DIV/0!</v>
      </c>
    </row>
    <row r="76" spans="1:8" s="5" customFormat="1" ht="20.100000000000001" customHeight="1">
      <c r="A76" s="8" t="s">
        <v>5</v>
      </c>
      <c r="B76" s="13">
        <v>1410</v>
      </c>
      <c r="C76" s="208">
        <f>'I. Фін результат'!C129</f>
        <v>1580.2</v>
      </c>
      <c r="D76" s="208">
        <f>'I. Фін результат'!D129</f>
        <v>1805.4</v>
      </c>
      <c r="E76" s="208">
        <f>'I. Фін результат'!E129</f>
        <v>1229.5</v>
      </c>
      <c r="F76" s="208">
        <f>'I. Фін результат'!F129</f>
        <v>1072.5</v>
      </c>
      <c r="G76" s="208">
        <f t="shared" si="0"/>
        <v>-157</v>
      </c>
      <c r="H76" s="186">
        <f t="shared" si="1"/>
        <v>87.230581537210256</v>
      </c>
    </row>
    <row r="77" spans="1:8" s="5" customFormat="1" ht="20.100000000000001" customHeight="1">
      <c r="A77" s="8" t="s">
        <v>6</v>
      </c>
      <c r="B77" s="13">
        <v>1420</v>
      </c>
      <c r="C77" s="208">
        <f>'I. Фін результат'!C130</f>
        <v>339.7</v>
      </c>
      <c r="D77" s="208">
        <f>'I. Фін результат'!D130</f>
        <v>401.6</v>
      </c>
      <c r="E77" s="208">
        <f>'I. Фін результат'!E130</f>
        <v>270.39999999999998</v>
      </c>
      <c r="F77" s="208">
        <f>'I. Фін результат'!F130</f>
        <v>240.1</v>
      </c>
      <c r="G77" s="208">
        <f t="shared" si="0"/>
        <v>-30.299999999999983</v>
      </c>
      <c r="H77" s="186">
        <f t="shared" si="1"/>
        <v>88.794378698224861</v>
      </c>
    </row>
    <row r="78" spans="1:8" s="5" customFormat="1" ht="20.100000000000001" customHeight="1">
      <c r="A78" s="8" t="s">
        <v>7</v>
      </c>
      <c r="B78" s="13">
        <v>1430</v>
      </c>
      <c r="C78" s="208">
        <f>'I. Фін результат'!C131</f>
        <v>24.4</v>
      </c>
      <c r="D78" s="208">
        <f>'I. Фін результат'!D131</f>
        <v>30.7</v>
      </c>
      <c r="E78" s="208">
        <f>'I. Фін результат'!E131</f>
        <v>18</v>
      </c>
      <c r="F78" s="208">
        <f>'I. Фін результат'!F131</f>
        <v>17.100000000000001</v>
      </c>
      <c r="G78" s="208">
        <f t="shared" si="0"/>
        <v>-0.89999999999999858</v>
      </c>
      <c r="H78" s="186">
        <f t="shared" si="1"/>
        <v>95</v>
      </c>
    </row>
    <row r="79" spans="1:8" s="5" customFormat="1" ht="19.5" customHeight="1">
      <c r="A79" s="8" t="s">
        <v>29</v>
      </c>
      <c r="B79" s="13">
        <v>1440</v>
      </c>
      <c r="C79" s="208">
        <f>'I. Фін результат'!C132</f>
        <v>156.30000000000001</v>
      </c>
      <c r="D79" s="208">
        <f>'I. Фін результат'!D132</f>
        <v>51.1</v>
      </c>
      <c r="E79" s="208">
        <f>'I. Фін результат'!E132</f>
        <v>122.8</v>
      </c>
      <c r="F79" s="208">
        <f>'I. Фін результат'!F132</f>
        <v>26</v>
      </c>
      <c r="G79" s="208">
        <f t="shared" si="0"/>
        <v>-96.8</v>
      </c>
      <c r="H79" s="186">
        <f t="shared" si="1"/>
        <v>21.172638436482085</v>
      </c>
    </row>
    <row r="80" spans="1:8" s="5" customFormat="1" ht="19.5" customHeight="1" thickBot="1">
      <c r="A80" s="10" t="s">
        <v>49</v>
      </c>
      <c r="B80" s="51">
        <v>1450</v>
      </c>
      <c r="C80" s="209">
        <f>SUM(C73,C76:C79)</f>
        <v>2103.1000000000004</v>
      </c>
      <c r="D80" s="209">
        <f>SUM(D73,D76:D79)</f>
        <v>2292.1</v>
      </c>
      <c r="E80" s="209">
        <f>SUM(E73,E76:E79)</f>
        <v>1640.7</v>
      </c>
      <c r="F80" s="209">
        <f>SUM(F73,F76:F79)</f>
        <v>1355.6999999999998</v>
      </c>
      <c r="G80" s="207">
        <f t="shared" si="0"/>
        <v>-285.00000000000023</v>
      </c>
      <c r="H80" s="185">
        <f t="shared" si="1"/>
        <v>82.629365514719311</v>
      </c>
    </row>
    <row r="81" spans="1:8" s="5" customFormat="1" ht="19.5" thickBot="1">
      <c r="A81" s="269" t="s">
        <v>117</v>
      </c>
      <c r="B81" s="270"/>
      <c r="C81" s="270"/>
      <c r="D81" s="270"/>
      <c r="E81" s="270"/>
      <c r="F81" s="270"/>
      <c r="G81" s="270"/>
      <c r="H81" s="271"/>
    </row>
    <row r="82" spans="1:8" s="5" customFormat="1">
      <c r="A82" s="278" t="s">
        <v>116</v>
      </c>
      <c r="B82" s="279"/>
      <c r="C82" s="279"/>
      <c r="D82" s="279"/>
      <c r="E82" s="279"/>
      <c r="F82" s="279"/>
      <c r="G82" s="279"/>
      <c r="H82" s="280"/>
    </row>
    <row r="83" spans="1:8" s="5" customFormat="1" ht="37.5" customHeight="1">
      <c r="A83" s="141" t="s">
        <v>51</v>
      </c>
      <c r="B83" s="129">
        <v>2000</v>
      </c>
      <c r="C83" s="208">
        <f>'ІІ. Розр. з бюджетом'!C8</f>
        <v>8.8000000000000007</v>
      </c>
      <c r="D83" s="208">
        <f>'ІІ. Розр. з бюджетом'!D8</f>
        <v>0</v>
      </c>
      <c r="E83" s="208">
        <f>'ІІ. Розр. з бюджетом'!E8</f>
        <v>0</v>
      </c>
      <c r="F83" s="208">
        <f>'ІІ. Розр. з бюджетом'!F8</f>
        <v>0</v>
      </c>
      <c r="G83" s="208">
        <f>F83-E83</f>
        <v>0</v>
      </c>
      <c r="H83" s="186" t="e">
        <f>(F83/E83)*100</f>
        <v>#DIV/0!</v>
      </c>
    </row>
    <row r="84" spans="1:8" s="5" customFormat="1" ht="27.75" customHeight="1">
      <c r="A84" s="8" t="s">
        <v>268</v>
      </c>
      <c r="B84" s="6">
        <v>1200</v>
      </c>
      <c r="C84" s="208">
        <f>'ІІ. Розр. з бюджетом'!C7</f>
        <v>13.600000000000364</v>
      </c>
      <c r="D84" s="208">
        <f>'ІІ. Розр. з бюджетом'!D7</f>
        <v>48.299999999999727</v>
      </c>
      <c r="E84" s="208">
        <f>'ІІ. Розр. з бюджетом'!E7</f>
        <v>7.3499999999999091</v>
      </c>
      <c r="F84" s="208">
        <f>'ІІ. Розр. з бюджетом'!F7</f>
        <v>-6.5</v>
      </c>
      <c r="G84" s="208">
        <f t="shared" ref="G84:G94" si="2">F84-E84</f>
        <v>-13.849999999999909</v>
      </c>
      <c r="H84" s="186">
        <f t="shared" ref="H84:H94" si="3">(F84/E84)*100</f>
        <v>-88.435374149660959</v>
      </c>
    </row>
    <row r="85" spans="1:8" s="5" customFormat="1" ht="39.75" customHeight="1">
      <c r="A85" s="47" t="s">
        <v>248</v>
      </c>
      <c r="B85" s="6">
        <v>2010</v>
      </c>
      <c r="C85" s="217">
        <f>SUM(C86:C87)</f>
        <v>0</v>
      </c>
      <c r="D85" s="217">
        <f>SUM(D86:D87)</f>
        <v>0</v>
      </c>
      <c r="E85" s="217">
        <f>SUM(E86:E87)</f>
        <v>0</v>
      </c>
      <c r="F85" s="217">
        <f>SUM(F86:F87)</f>
        <v>0</v>
      </c>
      <c r="G85" s="208">
        <f t="shared" si="2"/>
        <v>0</v>
      </c>
      <c r="H85" s="186" t="e">
        <f t="shared" si="3"/>
        <v>#DIV/0!</v>
      </c>
    </row>
    <row r="86" spans="1:8" s="5" customFormat="1" ht="37.5" customHeight="1">
      <c r="A86" s="8" t="s">
        <v>141</v>
      </c>
      <c r="B86" s="6">
        <v>2011</v>
      </c>
      <c r="C86" s="208" t="str">
        <f>'ІІ. Розр. з бюджетом'!C10</f>
        <v>(    )</v>
      </c>
      <c r="D86" s="208" t="str">
        <f>'ІІ. Розр. з бюджетом'!D10</f>
        <v>(    )</v>
      </c>
      <c r="E86" s="208" t="str">
        <f>'ІІ. Розр. з бюджетом'!E10</f>
        <v>(    )</v>
      </c>
      <c r="F86" s="208" t="str">
        <f>'ІІ. Розр. з бюджетом'!F10</f>
        <v>(    )</v>
      </c>
      <c r="G86" s="208" t="e">
        <f t="shared" si="2"/>
        <v>#VALUE!</v>
      </c>
      <c r="H86" s="186" t="e">
        <f t="shared" si="3"/>
        <v>#VALUE!</v>
      </c>
    </row>
    <row r="87" spans="1:8" s="5" customFormat="1" ht="39.75" customHeight="1">
      <c r="A87" s="8" t="s">
        <v>433</v>
      </c>
      <c r="B87" s="6">
        <v>2012</v>
      </c>
      <c r="C87" s="208" t="str">
        <f>'ІІ. Розр. з бюджетом'!C11</f>
        <v>(    )</v>
      </c>
      <c r="D87" s="208" t="str">
        <f>'ІІ. Розр. з бюджетом'!D11</f>
        <v>(    )</v>
      </c>
      <c r="E87" s="208" t="str">
        <f>'ІІ. Розр. з бюджетом'!E11</f>
        <v>(    )</v>
      </c>
      <c r="F87" s="208" t="str">
        <f>'ІІ. Розр. з бюджетом'!F11</f>
        <v>(    )</v>
      </c>
      <c r="G87" s="208" t="e">
        <f t="shared" si="2"/>
        <v>#VALUE!</v>
      </c>
      <c r="H87" s="186" t="e">
        <f t="shared" si="3"/>
        <v>#VALUE!</v>
      </c>
    </row>
    <row r="88" spans="1:8" s="5" customFormat="1">
      <c r="A88" s="8" t="s">
        <v>125</v>
      </c>
      <c r="B88" s="6" t="s">
        <v>148</v>
      </c>
      <c r="C88" s="208" t="str">
        <f>'ІІ. Розр. з бюджетом'!C12</f>
        <v>(    )</v>
      </c>
      <c r="D88" s="208" t="str">
        <f>'ІІ. Розр. з бюджетом'!D12</f>
        <v>(    )</v>
      </c>
      <c r="E88" s="208" t="str">
        <f>'ІІ. Розр. з бюджетом'!E12</f>
        <v>(    )</v>
      </c>
      <c r="F88" s="208" t="str">
        <f>'ІІ. Розр. з бюджетом'!F12</f>
        <v>(    )</v>
      </c>
      <c r="G88" s="208" t="e">
        <f t="shared" si="2"/>
        <v>#VALUE!</v>
      </c>
      <c r="H88" s="186" t="e">
        <f t="shared" si="3"/>
        <v>#VALUE!</v>
      </c>
    </row>
    <row r="89" spans="1:8" s="5" customFormat="1">
      <c r="A89" s="8" t="s">
        <v>134</v>
      </c>
      <c r="B89" s="6">
        <v>2020</v>
      </c>
      <c r="C89" s="208" t="str">
        <f>'ІІ. Розр. з бюджетом'!C13</f>
        <v>(    )</v>
      </c>
      <c r="D89" s="208" t="str">
        <f>'ІІ. Розр. з бюджетом'!D13</f>
        <v>(    )</v>
      </c>
      <c r="E89" s="208" t="str">
        <f>'ІІ. Розр. з бюджетом'!E13</f>
        <v>(    )</v>
      </c>
      <c r="F89" s="208" t="str">
        <f>'ІІ. Розр. з бюджетом'!F13</f>
        <v>(    )</v>
      </c>
      <c r="G89" s="208" t="e">
        <f t="shared" si="2"/>
        <v>#VALUE!</v>
      </c>
      <c r="H89" s="186" t="e">
        <f t="shared" si="3"/>
        <v>#VALUE!</v>
      </c>
    </row>
    <row r="90" spans="1:8" s="5" customFormat="1">
      <c r="A90" s="47" t="s">
        <v>61</v>
      </c>
      <c r="B90" s="6">
        <v>2030</v>
      </c>
      <c r="C90" s="208" t="str">
        <f>'ІІ. Розр. з бюджетом'!C14</f>
        <v>(    )</v>
      </c>
      <c r="D90" s="208" t="str">
        <f>'ІІ. Розр. з бюджетом'!D14</f>
        <v>(    )</v>
      </c>
      <c r="E90" s="208" t="str">
        <f>'ІІ. Розр. з бюджетом'!E14</f>
        <v>(    )</v>
      </c>
      <c r="F90" s="208" t="str">
        <f>'ІІ. Розр. з бюджетом'!F14</f>
        <v>(    )</v>
      </c>
      <c r="G90" s="208" t="e">
        <f t="shared" si="2"/>
        <v>#VALUE!</v>
      </c>
      <c r="H90" s="186" t="e">
        <f t="shared" si="3"/>
        <v>#VALUE!</v>
      </c>
    </row>
    <row r="91" spans="1:8" s="5" customFormat="1">
      <c r="A91" s="47" t="s">
        <v>27</v>
      </c>
      <c r="B91" s="6">
        <v>2040</v>
      </c>
      <c r="C91" s="208" t="str">
        <f>'ІІ. Розр. з бюджетом'!C16</f>
        <v>(    )</v>
      </c>
      <c r="D91" s="208" t="str">
        <f>'ІІ. Розр. з бюджетом'!D16</f>
        <v>(    )</v>
      </c>
      <c r="E91" s="208" t="str">
        <f>'ІІ. Розр. з бюджетом'!E16</f>
        <v>(    )</v>
      </c>
      <c r="F91" s="208" t="str">
        <f>'ІІ. Розр. з бюджетом'!F16</f>
        <v>(    )</v>
      </c>
      <c r="G91" s="208" t="e">
        <f t="shared" si="2"/>
        <v>#VALUE!</v>
      </c>
      <c r="H91" s="186" t="e">
        <f t="shared" si="3"/>
        <v>#VALUE!</v>
      </c>
    </row>
    <row r="92" spans="1:8" s="5" customFormat="1">
      <c r="A92" s="47" t="s">
        <v>230</v>
      </c>
      <c r="B92" s="6">
        <v>2050</v>
      </c>
      <c r="C92" s="208" t="str">
        <f>'ІІ. Розр. з бюджетом'!C17</f>
        <v>(    )</v>
      </c>
      <c r="D92" s="208" t="str">
        <f>'ІІ. Розр. з бюджетом'!D17</f>
        <v>(    )</v>
      </c>
      <c r="E92" s="208" t="str">
        <f>'ІІ. Розр. з бюджетом'!E17</f>
        <v>(    )</v>
      </c>
      <c r="F92" s="208" t="str">
        <f>'ІІ. Розр. з бюджетом'!F17</f>
        <v>(    )</v>
      </c>
      <c r="G92" s="208" t="e">
        <f t="shared" si="2"/>
        <v>#VALUE!</v>
      </c>
      <c r="H92" s="186" t="e">
        <f t="shared" si="3"/>
        <v>#VALUE!</v>
      </c>
    </row>
    <row r="93" spans="1:8" s="5" customFormat="1">
      <c r="A93" s="47" t="s">
        <v>231</v>
      </c>
      <c r="B93" s="6">
        <v>2060</v>
      </c>
      <c r="C93" s="208" t="str">
        <f>'ІІ. Розр. з бюджетом'!C18</f>
        <v>(    )</v>
      </c>
      <c r="D93" s="208" t="str">
        <f>'ІІ. Розр. з бюджетом'!D18</f>
        <v>(    )</v>
      </c>
      <c r="E93" s="208" t="str">
        <f>'ІІ. Розр. з бюджетом'!E18</f>
        <v>(    )</v>
      </c>
      <c r="F93" s="208" t="str">
        <f>'ІІ. Розр. з бюджетом'!F18</f>
        <v>(    )</v>
      </c>
      <c r="G93" s="208" t="e">
        <f t="shared" si="2"/>
        <v>#VALUE!</v>
      </c>
      <c r="H93" s="186" t="e">
        <f t="shared" si="3"/>
        <v>#VALUE!</v>
      </c>
    </row>
    <row r="94" spans="1:8" s="5" customFormat="1" ht="41.25" customHeight="1">
      <c r="A94" s="47" t="s">
        <v>52</v>
      </c>
      <c r="B94" s="6">
        <v>2070</v>
      </c>
      <c r="C94" s="218">
        <f>SUM(C83:C85,C89:C93)</f>
        <v>22.400000000000365</v>
      </c>
      <c r="D94" s="218">
        <f>SUM(D83:D85,D89:D93)</f>
        <v>48.299999999999727</v>
      </c>
      <c r="E94" s="218">
        <f>SUM(E83:E85,E89:E93)</f>
        <v>7.3499999999999091</v>
      </c>
      <c r="F94" s="218">
        <f>SUM(F83:F85,F89:F93)</f>
        <v>-6.5</v>
      </c>
      <c r="G94" s="208">
        <f t="shared" si="2"/>
        <v>-13.849999999999909</v>
      </c>
      <c r="H94" s="186">
        <f t="shared" si="3"/>
        <v>-88.435374149660959</v>
      </c>
    </row>
    <row r="95" spans="1:8" s="5" customFormat="1" ht="21.75" customHeight="1">
      <c r="A95" s="275" t="s">
        <v>340</v>
      </c>
      <c r="B95" s="276"/>
      <c r="C95" s="276"/>
      <c r="D95" s="276"/>
      <c r="E95" s="276"/>
      <c r="F95" s="276"/>
      <c r="G95" s="276"/>
      <c r="H95" s="277"/>
    </row>
    <row r="96" spans="1:8" s="5" customFormat="1" ht="41.25" customHeight="1">
      <c r="A96" s="74" t="s">
        <v>332</v>
      </c>
      <c r="B96" s="146">
        <v>2110</v>
      </c>
      <c r="C96" s="210">
        <f>'ІІ. Розр. з бюджетом'!C21</f>
        <v>10.6</v>
      </c>
      <c r="D96" s="210">
        <f>'ІІ. Розр. з бюджетом'!D21</f>
        <v>9.3000000000000007</v>
      </c>
      <c r="E96" s="210">
        <f>'ІІ. Розр. з бюджетом'!E21</f>
        <v>221.3</v>
      </c>
      <c r="F96" s="210">
        <f>'ІІ. Розр. з бюджетом'!F21</f>
        <v>190.5</v>
      </c>
      <c r="G96" s="210">
        <f>F96-E96</f>
        <v>-30.800000000000011</v>
      </c>
      <c r="H96" s="185">
        <f>(F96/E96)*100</f>
        <v>86.082241301400813</v>
      </c>
    </row>
    <row r="97" spans="1:8" s="5" customFormat="1">
      <c r="A97" s="8" t="s">
        <v>253</v>
      </c>
      <c r="B97" s="6">
        <v>2111</v>
      </c>
      <c r="C97" s="184">
        <v>0</v>
      </c>
      <c r="D97" s="184">
        <f>'ІІ. Розр. з бюджетом'!D22</f>
        <v>9.3000000000000007</v>
      </c>
      <c r="E97" s="184">
        <f>'ІІ. Розр. з бюджетом'!E22</f>
        <v>0</v>
      </c>
      <c r="F97" s="184">
        <f>'ІІ. Розр. з бюджетом'!F22</f>
        <v>0</v>
      </c>
      <c r="G97" s="184">
        <f t="shared" ref="G97:G108" si="4">F97-E97</f>
        <v>0</v>
      </c>
      <c r="H97" s="186" t="e">
        <f t="shared" ref="H97:H108" si="5">(F97/E97)*100</f>
        <v>#DIV/0!</v>
      </c>
    </row>
    <row r="98" spans="1:8" s="5" customFormat="1">
      <c r="A98" s="8" t="s">
        <v>333</v>
      </c>
      <c r="B98" s="6">
        <v>2112</v>
      </c>
      <c r="C98" s="184">
        <v>0</v>
      </c>
      <c r="D98" s="184">
        <f>'ІІ. Розр. з бюджетом'!D23</f>
        <v>0</v>
      </c>
      <c r="E98" s="184">
        <v>0</v>
      </c>
      <c r="F98" s="184">
        <f>'ІІ. Розр. з бюджетом'!F23</f>
        <v>0</v>
      </c>
      <c r="G98" s="184">
        <f t="shared" si="4"/>
        <v>0</v>
      </c>
      <c r="H98" s="186" t="e">
        <f t="shared" si="5"/>
        <v>#DIV/0!</v>
      </c>
    </row>
    <row r="99" spans="1:8" s="5" customFormat="1" ht="38.25" customHeight="1">
      <c r="A99" s="47" t="s">
        <v>334</v>
      </c>
      <c r="B99" s="7">
        <v>2113</v>
      </c>
      <c r="C99" s="184" t="str">
        <f>'ІІ. Розр. з бюджетом'!C24</f>
        <v>(    )</v>
      </c>
      <c r="D99" s="184" t="str">
        <f>'ІІ. Розр. з бюджетом'!D24</f>
        <v>(    )</v>
      </c>
      <c r="E99" s="184" t="str">
        <f>'ІІ. Розр. з бюджетом'!E24</f>
        <v>(    )</v>
      </c>
      <c r="F99" s="184" t="str">
        <f>'ІІ. Розр. з бюджетом'!F24</f>
        <v>(    )</v>
      </c>
      <c r="G99" s="184" t="e">
        <f t="shared" si="4"/>
        <v>#VALUE!</v>
      </c>
      <c r="H99" s="186" t="e">
        <f t="shared" si="5"/>
        <v>#VALUE!</v>
      </c>
    </row>
    <row r="100" spans="1:8" s="5" customFormat="1">
      <c r="A100" s="47" t="s">
        <v>73</v>
      </c>
      <c r="B100" s="7">
        <v>2114</v>
      </c>
      <c r="C100" s="184" t="str">
        <f>'ІІ. Розр. з бюджетом'!C25</f>
        <v>(    )</v>
      </c>
      <c r="D100" s="184" t="str">
        <f>'ІІ. Розр. з бюджетом'!D25</f>
        <v>(    )</v>
      </c>
      <c r="E100" s="184" t="str">
        <f>'ІІ. Розр. з бюджетом'!E25</f>
        <v>(    )</v>
      </c>
      <c r="F100" s="184" t="str">
        <f>'ІІ. Розр. з бюджетом'!F25</f>
        <v>(    )</v>
      </c>
      <c r="G100" s="184" t="e">
        <f t="shared" si="4"/>
        <v>#VALUE!</v>
      </c>
      <c r="H100" s="186" t="e">
        <f t="shared" si="5"/>
        <v>#VALUE!</v>
      </c>
    </row>
    <row r="101" spans="1:8" s="5" customFormat="1" ht="37.5">
      <c r="A101" s="47" t="s">
        <v>335</v>
      </c>
      <c r="B101" s="7">
        <v>2115</v>
      </c>
      <c r="C101" s="184" t="str">
        <f>'ІІ. Розр. з бюджетом'!C26</f>
        <v>(    )</v>
      </c>
      <c r="D101" s="184" t="str">
        <f>'ІІ. Розр. з бюджетом'!D26</f>
        <v>(    )</v>
      </c>
      <c r="E101" s="184" t="str">
        <f>'ІІ. Розр. з бюджетом'!E26</f>
        <v>(    )</v>
      </c>
      <c r="F101" s="184" t="str">
        <f>'ІІ. Розр. з бюджетом'!F26</f>
        <v>(    )</v>
      </c>
      <c r="G101" s="184" t="e">
        <f t="shared" si="4"/>
        <v>#VALUE!</v>
      </c>
      <c r="H101" s="186" t="e">
        <f t="shared" si="5"/>
        <v>#VALUE!</v>
      </c>
    </row>
    <row r="102" spans="1:8" s="5" customFormat="1">
      <c r="A102" s="47" t="s">
        <v>88</v>
      </c>
      <c r="B102" s="7">
        <v>2116</v>
      </c>
      <c r="C102" s="184" t="str">
        <f>'ІІ. Розр. з бюджетом'!C27</f>
        <v>(    )</v>
      </c>
      <c r="D102" s="184" t="str">
        <f>'ІІ. Розр. з бюджетом'!D27</f>
        <v>(    )</v>
      </c>
      <c r="E102" s="184" t="str">
        <f>'ІІ. Розр. з бюджетом'!E27</f>
        <v>(    )</v>
      </c>
      <c r="F102" s="184" t="str">
        <f>'ІІ. Розр. з бюджетом'!F27</f>
        <v>(    )</v>
      </c>
      <c r="G102" s="184" t="e">
        <f t="shared" si="4"/>
        <v>#VALUE!</v>
      </c>
      <c r="H102" s="186" t="e">
        <f t="shared" si="5"/>
        <v>#VALUE!</v>
      </c>
    </row>
    <row r="103" spans="1:8" s="5" customFormat="1">
      <c r="A103" s="47" t="s">
        <v>355</v>
      </c>
      <c r="B103" s="7">
        <v>2117</v>
      </c>
      <c r="C103" s="184">
        <f>'ІІ. Розр. з бюджетом'!C28</f>
        <v>0</v>
      </c>
      <c r="D103" s="184" t="str">
        <f>'ІІ. Розр. з бюджетом'!D28</f>
        <v>(    )</v>
      </c>
      <c r="E103" s="184" t="str">
        <f>'ІІ. Розр. з бюджетом'!E28</f>
        <v>(    )</v>
      </c>
      <c r="F103" s="184" t="str">
        <f>'ІІ. Розр. з бюджетом'!F28</f>
        <v>(    )</v>
      </c>
      <c r="G103" s="184" t="e">
        <f t="shared" si="4"/>
        <v>#VALUE!</v>
      </c>
      <c r="H103" s="186" t="e">
        <f t="shared" si="5"/>
        <v>#VALUE!</v>
      </c>
    </row>
    <row r="104" spans="1:8" s="5" customFormat="1" ht="35.25" customHeight="1">
      <c r="A104" s="74" t="s">
        <v>336</v>
      </c>
      <c r="B104" s="60">
        <v>2120</v>
      </c>
      <c r="C104" s="207">
        <f>'ІІ. Розр. з бюджетом'!C33</f>
        <v>281.10000000000002</v>
      </c>
      <c r="D104" s="207">
        <f>'ІІ. Розр. з бюджетом'!D33</f>
        <v>131.6</v>
      </c>
      <c r="E104" s="207">
        <f>'ІІ. Розр. з бюджетом'!E33</f>
        <v>0</v>
      </c>
      <c r="F104" s="207">
        <f>'ІІ. Розр. з бюджетом'!F33</f>
        <v>0</v>
      </c>
      <c r="G104" s="210">
        <f t="shared" si="4"/>
        <v>0</v>
      </c>
      <c r="H104" s="185" t="e">
        <f t="shared" si="5"/>
        <v>#DIV/0!</v>
      </c>
    </row>
    <row r="105" spans="1:8" s="5" customFormat="1" ht="37.5">
      <c r="A105" s="74" t="s">
        <v>337</v>
      </c>
      <c r="B105" s="60">
        <v>2130</v>
      </c>
      <c r="C105" s="207">
        <f>'ІІ. Розр. з бюджетом'!C38</f>
        <v>363.4</v>
      </c>
      <c r="D105" s="207">
        <f>'ІІ. Розр. з бюджетом'!D38</f>
        <v>172.7</v>
      </c>
      <c r="E105" s="207">
        <f>'ІІ. Розр. з бюджетом'!E38</f>
        <v>288.89999999999998</v>
      </c>
      <c r="F105" s="207">
        <f>'ІІ. Розр. з бюджетом'!F38</f>
        <v>255.4</v>
      </c>
      <c r="G105" s="210">
        <f t="shared" si="4"/>
        <v>-33.499999999999972</v>
      </c>
      <c r="H105" s="185">
        <f t="shared" si="5"/>
        <v>88.404292142609904</v>
      </c>
    </row>
    <row r="106" spans="1:8" s="5" customFormat="1" ht="37.5" customHeight="1">
      <c r="A106" s="90" t="s">
        <v>434</v>
      </c>
      <c r="B106" s="7">
        <v>2131</v>
      </c>
      <c r="C106" s="208">
        <f>'ІІ. Розр. з бюджетом'!C39</f>
        <v>0</v>
      </c>
      <c r="D106" s="208">
        <f>'ІІ. Розр. з бюджетом'!D39</f>
        <v>0</v>
      </c>
      <c r="E106" s="208">
        <f>'ІІ. Розр. з бюджетом'!E39</f>
        <v>0</v>
      </c>
      <c r="F106" s="208">
        <f>'ІІ. Розр. з бюджетом'!F39</f>
        <v>0</v>
      </c>
      <c r="G106" s="184">
        <f t="shared" si="4"/>
        <v>0</v>
      </c>
      <c r="H106" s="186" t="e">
        <f t="shared" si="5"/>
        <v>#DIV/0!</v>
      </c>
    </row>
    <row r="107" spans="1:8" s="5" customFormat="1" ht="19.5" customHeight="1">
      <c r="A107" s="90" t="s">
        <v>338</v>
      </c>
      <c r="B107" s="7">
        <v>2133</v>
      </c>
      <c r="C107" s="208">
        <f>'ІІ. Розр. з бюджетом'!C41</f>
        <v>339.7</v>
      </c>
      <c r="D107" s="208">
        <f>'ІІ. Розр. з бюджетом'!D41</f>
        <v>161.5</v>
      </c>
      <c r="E107" s="208">
        <f>'ІІ. Розр. з бюджетом'!E41</f>
        <v>270.5</v>
      </c>
      <c r="F107" s="208">
        <f>'ІІ. Розр. з бюджетом'!F41</f>
        <v>240.1</v>
      </c>
      <c r="G107" s="184">
        <f t="shared" si="4"/>
        <v>-30.400000000000006</v>
      </c>
      <c r="H107" s="186">
        <f t="shared" si="5"/>
        <v>88.761552680221811</v>
      </c>
    </row>
    <row r="108" spans="1:8" s="5" customFormat="1" ht="22.5" customHeight="1" thickBot="1">
      <c r="A108" s="89" t="s">
        <v>339</v>
      </c>
      <c r="B108" s="175">
        <v>2200</v>
      </c>
      <c r="C108" s="207">
        <f>'ІІ. Розр. з бюджетом'!C47</f>
        <v>655.1</v>
      </c>
      <c r="D108" s="207">
        <f>'ІІ. Розр. з бюджетом'!D47</f>
        <v>313.60000000000002</v>
      </c>
      <c r="E108" s="207">
        <f>'ІІ. Розр. з бюджетом'!E47</f>
        <v>510.2</v>
      </c>
      <c r="F108" s="207">
        <f>'ІІ. Розр. з бюджетом'!F47</f>
        <v>445.9</v>
      </c>
      <c r="G108" s="210">
        <f t="shared" si="4"/>
        <v>-64.300000000000011</v>
      </c>
      <c r="H108" s="185">
        <f t="shared" si="5"/>
        <v>87.397099176793418</v>
      </c>
    </row>
    <row r="109" spans="1:8" s="5" customFormat="1" ht="19.5" thickBot="1">
      <c r="A109" s="269" t="s">
        <v>275</v>
      </c>
      <c r="B109" s="270"/>
      <c r="C109" s="270"/>
      <c r="D109" s="270"/>
      <c r="E109" s="270"/>
      <c r="F109" s="270"/>
      <c r="G109" s="270"/>
      <c r="H109" s="271"/>
    </row>
    <row r="110" spans="1:8" s="5" customFormat="1" ht="20.100000000000001" customHeight="1">
      <c r="A110" s="124" t="s">
        <v>272</v>
      </c>
      <c r="B110" s="11">
        <v>3405</v>
      </c>
      <c r="C110" s="207">
        <f>'ІІІ. Рух грош. коштів'!C87</f>
        <v>14.9</v>
      </c>
      <c r="D110" s="207">
        <f>'ІІІ. Рух грош. коштів'!D87</f>
        <v>93.100000000000009</v>
      </c>
      <c r="E110" s="207">
        <f>'ІІІ. Рух грош. коштів'!E87</f>
        <v>4.3</v>
      </c>
      <c r="F110" s="207">
        <f>'ІІІ. Рух грош. коштів'!F87</f>
        <v>69.400000000000006</v>
      </c>
      <c r="G110" s="210">
        <f>F110-E110</f>
        <v>65.100000000000009</v>
      </c>
      <c r="H110" s="185">
        <f>(F110/E110)*100</f>
        <v>1613.953488372093</v>
      </c>
    </row>
    <row r="111" spans="1:8" s="5" customFormat="1" ht="15.75" customHeight="1">
      <c r="A111" s="90" t="s">
        <v>329</v>
      </c>
      <c r="B111" s="140">
        <v>3030</v>
      </c>
      <c r="C111" s="208">
        <f>'ІІІ. Рух грош. коштів'!C11</f>
        <v>2056.1</v>
      </c>
      <c r="D111" s="208">
        <f>'ІІІ. Рух грош. коштів'!D11</f>
        <v>2393.6000000000004</v>
      </c>
      <c r="E111" s="208">
        <f>'ІІІ. Рух грош. коштів'!E11</f>
        <v>1499.9</v>
      </c>
      <c r="F111" s="208">
        <f>'ІІІ. Рух грош. коштів'!F11</f>
        <v>1320.7</v>
      </c>
      <c r="G111" s="184">
        <f t="shared" ref="G111:G116" si="6">F111-E111</f>
        <v>-179.20000000000005</v>
      </c>
      <c r="H111" s="186">
        <f t="shared" ref="H111:H116" si="7">(F111/E111)*100</f>
        <v>88.052536835789056</v>
      </c>
    </row>
    <row r="112" spans="1:8" s="5" customFormat="1">
      <c r="A112" s="90" t="s">
        <v>266</v>
      </c>
      <c r="B112" s="140">
        <v>3195</v>
      </c>
      <c r="C112" s="208">
        <f>'ІІІ. Рух грош. коштів'!C47</f>
        <v>-7.5</v>
      </c>
      <c r="D112" s="213">
        <f>'ІІІ. Рух грош. коштів'!D47</f>
        <v>212.70000000000027</v>
      </c>
      <c r="E112" s="213">
        <f>'ІІІ. Рух грош. коштів'!E47</f>
        <v>117.10000000000014</v>
      </c>
      <c r="F112" s="213">
        <f>'ІІІ. Рух грош. коштів'!F47</f>
        <v>-13</v>
      </c>
      <c r="G112" s="184">
        <f t="shared" si="6"/>
        <v>-130.10000000000014</v>
      </c>
      <c r="H112" s="186">
        <f t="shared" si="7"/>
        <v>-11.101622544833463</v>
      </c>
    </row>
    <row r="113" spans="1:8">
      <c r="A113" s="90" t="s">
        <v>118</v>
      </c>
      <c r="B113" s="140">
        <v>3295</v>
      </c>
      <c r="C113" s="208">
        <f>'ІІІ. Рух грош. коштів'!C66</f>
        <v>0</v>
      </c>
      <c r="D113" s="208">
        <f>'ІІІ. Рух грош. коштів'!D66</f>
        <v>-180</v>
      </c>
      <c r="E113" s="208">
        <f>'ІІІ. Рух грош. коштів'!E66</f>
        <v>-100</v>
      </c>
      <c r="F113" s="208">
        <f>'ІІІ. Рух грош. коштів'!F66</f>
        <v>0</v>
      </c>
      <c r="G113" s="184">
        <f t="shared" si="6"/>
        <v>100</v>
      </c>
      <c r="H113" s="186">
        <f t="shared" si="7"/>
        <v>0</v>
      </c>
    </row>
    <row r="114" spans="1:8" s="5" customFormat="1">
      <c r="A114" s="90" t="s">
        <v>274</v>
      </c>
      <c r="B114" s="9">
        <v>3395</v>
      </c>
      <c r="C114" s="208">
        <f>'ІІІ. Рух грош. коштів'!C85</f>
        <v>0</v>
      </c>
      <c r="D114" s="208">
        <f>'ІІІ. Рух грош. коштів'!D85</f>
        <v>0</v>
      </c>
      <c r="E114" s="208">
        <f>'ІІІ. Рух грош. коштів'!E85</f>
        <v>0</v>
      </c>
      <c r="F114" s="208">
        <f>'ІІІ. Рух грош. коштів'!F85</f>
        <v>0</v>
      </c>
      <c r="G114" s="184">
        <f t="shared" si="6"/>
        <v>0</v>
      </c>
      <c r="H114" s="186" t="e">
        <f t="shared" si="7"/>
        <v>#DIV/0!</v>
      </c>
    </row>
    <row r="115" spans="1:8" s="5" customFormat="1">
      <c r="A115" s="90" t="s">
        <v>121</v>
      </c>
      <c r="B115" s="9">
        <v>3410</v>
      </c>
      <c r="C115" s="208">
        <f>'ІІІ. Рух грош. коштів'!C88</f>
        <v>0</v>
      </c>
      <c r="D115" s="208">
        <f>'ІІІ. Рух грош. коштів'!D88</f>
        <v>0</v>
      </c>
      <c r="E115" s="208">
        <f>'ІІІ. Рух грош. коштів'!E88</f>
        <v>0</v>
      </c>
      <c r="F115" s="208">
        <f>'ІІІ. Рух грош. коштів'!F88</f>
        <v>0</v>
      </c>
      <c r="G115" s="184">
        <f t="shared" si="6"/>
        <v>0</v>
      </c>
      <c r="H115" s="186" t="e">
        <f t="shared" si="7"/>
        <v>#DIV/0!</v>
      </c>
    </row>
    <row r="116" spans="1:8" s="5" customFormat="1" ht="19.5" thickBot="1">
      <c r="A116" s="125" t="s">
        <v>273</v>
      </c>
      <c r="B116" s="11">
        <v>3415</v>
      </c>
      <c r="C116" s="209">
        <f>SUM(C110,C112:C115)</f>
        <v>7.4</v>
      </c>
      <c r="D116" s="209">
        <f>SUM(D110,D112:D115)</f>
        <v>125.8000000000003</v>
      </c>
      <c r="E116" s="209">
        <f>SUM(E110,E112:E115)</f>
        <v>21.400000000000134</v>
      </c>
      <c r="F116" s="209">
        <f>SUM(F110,F112:F115)</f>
        <v>56.400000000000006</v>
      </c>
      <c r="G116" s="210">
        <f t="shared" si="6"/>
        <v>34.999999999999872</v>
      </c>
      <c r="H116" s="185">
        <f t="shared" si="7"/>
        <v>263.55140186915725</v>
      </c>
    </row>
    <row r="117" spans="1:8" s="5" customFormat="1" ht="19.5" thickBot="1">
      <c r="A117" s="272" t="s">
        <v>276</v>
      </c>
      <c r="B117" s="273"/>
      <c r="C117" s="273"/>
      <c r="D117" s="273"/>
      <c r="E117" s="273"/>
      <c r="F117" s="273"/>
      <c r="G117" s="273"/>
      <c r="H117" s="274"/>
    </row>
    <row r="118" spans="1:8" s="5" customFormat="1" ht="20.100000000000001" customHeight="1">
      <c r="A118" s="124" t="s">
        <v>232</v>
      </c>
      <c r="B118" s="179">
        <v>4000</v>
      </c>
      <c r="C118" s="219">
        <f>SUM(C119:C124)</f>
        <v>159.19999999999999</v>
      </c>
      <c r="D118" s="219">
        <f>SUM(D119:D124)</f>
        <v>181.2</v>
      </c>
      <c r="E118" s="219">
        <f>SUM(E119:E124)</f>
        <v>114.8</v>
      </c>
      <c r="F118" s="219">
        <f>SUM(F119:F124)</f>
        <v>0</v>
      </c>
      <c r="G118" s="210">
        <f>F118-E118</f>
        <v>-114.8</v>
      </c>
      <c r="H118" s="185">
        <f>(F118/E118)*100</f>
        <v>0</v>
      </c>
    </row>
    <row r="119" spans="1:8" s="5" customFormat="1" ht="20.100000000000001" customHeight="1">
      <c r="A119" s="8" t="s">
        <v>1</v>
      </c>
      <c r="B119" s="67" t="s">
        <v>149</v>
      </c>
      <c r="C119" s="208">
        <f>'IV. Кап. інвестиції'!C7</f>
        <v>0</v>
      </c>
      <c r="D119" s="208">
        <f>'IV. Кап. інвестиції'!D7</f>
        <v>0</v>
      </c>
      <c r="E119" s="208">
        <f>'IV. Кап. інвестиції'!E7</f>
        <v>0</v>
      </c>
      <c r="F119" s="208">
        <f>'IV. Кап. інвестиції'!F7</f>
        <v>0</v>
      </c>
      <c r="G119" s="184">
        <f t="shared" ref="G119:G128" si="8">F119-E119</f>
        <v>0</v>
      </c>
      <c r="H119" s="186" t="e">
        <f t="shared" ref="H119:H128" si="9">(F119/E119)*100</f>
        <v>#DIV/0!</v>
      </c>
    </row>
    <row r="120" spans="1:8" s="5" customFormat="1" ht="20.100000000000001" customHeight="1">
      <c r="A120" s="8" t="s">
        <v>2</v>
      </c>
      <c r="B120" s="66">
        <v>4020</v>
      </c>
      <c r="C120" s="208">
        <f>'IV. Кап. інвестиції'!C8</f>
        <v>143</v>
      </c>
      <c r="D120" s="208">
        <f>'IV. Кап. інвестиції'!D8</f>
        <v>180</v>
      </c>
      <c r="E120" s="208">
        <f>'IV. Кап. інвестиції'!E8</f>
        <v>113.8</v>
      </c>
      <c r="F120" s="208">
        <f>'IV. Кап. інвестиції'!F8</f>
        <v>0</v>
      </c>
      <c r="G120" s="184">
        <f t="shared" si="8"/>
        <v>-113.8</v>
      </c>
      <c r="H120" s="186">
        <f t="shared" si="9"/>
        <v>0</v>
      </c>
    </row>
    <row r="121" spans="1:8" s="5" customFormat="1" ht="20.100000000000001" customHeight="1">
      <c r="A121" s="8" t="s">
        <v>30</v>
      </c>
      <c r="B121" s="67">
        <v>4030</v>
      </c>
      <c r="C121" s="208">
        <f>'IV. Кап. інвестиції'!C9</f>
        <v>16.2</v>
      </c>
      <c r="D121" s="208">
        <f>'IV. Кап. інвестиції'!D9</f>
        <v>1.2</v>
      </c>
      <c r="E121" s="208">
        <f>'IV. Кап. інвестиції'!E9</f>
        <v>0</v>
      </c>
      <c r="F121" s="208">
        <f>'IV. Кап. інвестиції'!F9</f>
        <v>0</v>
      </c>
      <c r="G121" s="184">
        <f t="shared" si="8"/>
        <v>0</v>
      </c>
      <c r="H121" s="186" t="e">
        <f t="shared" si="9"/>
        <v>#DIV/0!</v>
      </c>
    </row>
    <row r="122" spans="1:8" s="5" customFormat="1">
      <c r="A122" s="8" t="s">
        <v>3</v>
      </c>
      <c r="B122" s="66">
        <v>4040</v>
      </c>
      <c r="C122" s="208">
        <f>'IV. Кап. інвестиції'!C10</f>
        <v>0</v>
      </c>
      <c r="D122" s="208">
        <f>'IV. Кап. інвестиції'!D10</f>
        <v>0</v>
      </c>
      <c r="E122" s="208">
        <f>'IV. Кап. інвестиції'!E10</f>
        <v>1</v>
      </c>
      <c r="F122" s="208">
        <f>'IV. Кап. інвестиції'!F10</f>
        <v>0</v>
      </c>
      <c r="G122" s="184">
        <f t="shared" si="8"/>
        <v>-1</v>
      </c>
      <c r="H122" s="186">
        <f t="shared" si="9"/>
        <v>0</v>
      </c>
    </row>
    <row r="123" spans="1:8" s="5" customFormat="1" ht="37.5">
      <c r="A123" s="8" t="s">
        <v>60</v>
      </c>
      <c r="B123" s="67">
        <v>4050</v>
      </c>
      <c r="C123" s="208">
        <f>'IV. Кап. інвестиції'!C11</f>
        <v>0</v>
      </c>
      <c r="D123" s="208">
        <f>'IV. Кап. інвестиції'!D11</f>
        <v>0</v>
      </c>
      <c r="E123" s="208">
        <f>'IV. Кап. інвестиції'!E11</f>
        <v>0</v>
      </c>
      <c r="F123" s="208">
        <f>'IV. Кап. інвестиції'!F11</f>
        <v>0</v>
      </c>
      <c r="G123" s="184">
        <f t="shared" si="8"/>
        <v>0</v>
      </c>
      <c r="H123" s="186" t="e">
        <f t="shared" si="9"/>
        <v>#DIV/0!</v>
      </c>
    </row>
    <row r="124" spans="1:8" s="5" customFormat="1">
      <c r="A124" s="8" t="s">
        <v>242</v>
      </c>
      <c r="B124" s="67">
        <v>4060</v>
      </c>
      <c r="C124" s="208">
        <f>'IV. Кап. інвестиції'!C12</f>
        <v>0</v>
      </c>
      <c r="D124" s="208">
        <f>'IV. Кап. інвестиції'!D12</f>
        <v>0</v>
      </c>
      <c r="E124" s="208">
        <f>'IV. Кап. інвестиції'!E12</f>
        <v>0</v>
      </c>
      <c r="F124" s="208">
        <f>'IV. Кап. інвестиції'!F12</f>
        <v>0</v>
      </c>
      <c r="G124" s="184">
        <f t="shared" si="8"/>
        <v>0</v>
      </c>
      <c r="H124" s="186" t="e">
        <f t="shared" si="9"/>
        <v>#DIV/0!</v>
      </c>
    </row>
    <row r="125" spans="1:8" s="5" customFormat="1" ht="20.100000000000001" customHeight="1">
      <c r="A125" s="89" t="s">
        <v>233</v>
      </c>
      <c r="B125" s="179">
        <v>4000</v>
      </c>
      <c r="C125" s="209">
        <f>SUM(C126:C129)</f>
        <v>159.19999999999999</v>
      </c>
      <c r="D125" s="209">
        <f>SUM(D126:D129)</f>
        <v>181.2</v>
      </c>
      <c r="E125" s="209">
        <f>SUM(E126:E129)</f>
        <v>114.8</v>
      </c>
      <c r="F125" s="209">
        <f>SUM(F126:F129)</f>
        <v>0</v>
      </c>
      <c r="G125" s="210">
        <f t="shared" si="8"/>
        <v>-114.8</v>
      </c>
      <c r="H125" s="185">
        <f t="shared" si="9"/>
        <v>0</v>
      </c>
    </row>
    <row r="126" spans="1:8" s="5" customFormat="1" ht="20.100000000000001" customHeight="1">
      <c r="A126" s="47" t="s">
        <v>356</v>
      </c>
      <c r="B126" s="127" t="s">
        <v>234</v>
      </c>
      <c r="C126" s="208">
        <v>0</v>
      </c>
      <c r="D126" s="208"/>
      <c r="E126" s="208">
        <f>'6.2. Інша інфо_2'!M36</f>
        <v>0</v>
      </c>
      <c r="F126" s="208">
        <f>'6.2. Інша інфо_2'!N36</f>
        <v>0</v>
      </c>
      <c r="G126" s="184">
        <f t="shared" si="8"/>
        <v>0</v>
      </c>
      <c r="H126" s="186" t="e">
        <f t="shared" si="9"/>
        <v>#DIV/0!</v>
      </c>
    </row>
    <row r="127" spans="1:8" s="5" customFormat="1" ht="20.100000000000001" customHeight="1">
      <c r="A127" s="47" t="s">
        <v>357</v>
      </c>
      <c r="B127" s="127" t="s">
        <v>235</v>
      </c>
      <c r="C127" s="208">
        <v>139.6</v>
      </c>
      <c r="D127" s="208">
        <v>181.2</v>
      </c>
      <c r="E127" s="208">
        <f>100+14+0.8</f>
        <v>114.8</v>
      </c>
      <c r="F127" s="208">
        <f>'6.2. Інша інфо_2'!R36</f>
        <v>0</v>
      </c>
      <c r="G127" s="184">
        <f t="shared" si="8"/>
        <v>-114.8</v>
      </c>
      <c r="H127" s="186">
        <f t="shared" si="9"/>
        <v>0</v>
      </c>
    </row>
    <row r="128" spans="1:8" s="5" customFormat="1" ht="20.100000000000001" customHeight="1">
      <c r="A128" s="47" t="s">
        <v>197</v>
      </c>
      <c r="B128" s="127" t="s">
        <v>236</v>
      </c>
      <c r="C128" s="208">
        <v>9.6</v>
      </c>
      <c r="D128" s="208"/>
      <c r="E128" s="208"/>
      <c r="F128" s="208">
        <f>'6.2. Інша інфо_2'!V36</f>
        <v>0</v>
      </c>
      <c r="G128" s="184">
        <f t="shared" si="8"/>
        <v>0</v>
      </c>
      <c r="H128" s="186" t="e">
        <f t="shared" si="9"/>
        <v>#DIV/0!</v>
      </c>
    </row>
    <row r="129" spans="1:14" s="5" customFormat="1" ht="20.100000000000001" customHeight="1" thickBot="1">
      <c r="A129" s="144" t="s">
        <v>358</v>
      </c>
      <c r="B129" s="145" t="s">
        <v>237</v>
      </c>
      <c r="C129" s="220">
        <v>10</v>
      </c>
      <c r="D129" s="220"/>
      <c r="E129" s="220">
        <f>'6.2. Інша інфо_2'!Y36</f>
        <v>0</v>
      </c>
      <c r="F129" s="220">
        <f>'6.2. Інша інфо_2'!Z36</f>
        <v>0</v>
      </c>
      <c r="G129" s="220">
        <f>F129-E129</f>
        <v>0</v>
      </c>
      <c r="H129" s="187" t="e">
        <f>(F129/E129)*100</f>
        <v>#DIV/0!</v>
      </c>
    </row>
    <row r="130" spans="1:14" s="5" customFormat="1" ht="19.5" thickBot="1">
      <c r="A130" s="286" t="s">
        <v>145</v>
      </c>
      <c r="B130" s="287"/>
      <c r="C130" s="287"/>
      <c r="D130" s="287"/>
      <c r="E130" s="287"/>
      <c r="F130" s="287"/>
      <c r="G130" s="287"/>
      <c r="H130" s="288"/>
    </row>
    <row r="131" spans="1:14" s="5" customFormat="1">
      <c r="A131" s="128" t="s">
        <v>307</v>
      </c>
      <c r="B131" s="129">
        <v>5040</v>
      </c>
      <c r="C131" s="221">
        <f>(C66/C34)*100</f>
        <v>30.979498861048665</v>
      </c>
      <c r="D131" s="221">
        <f>(D66/D34)*100</f>
        <v>53.547671840354461</v>
      </c>
      <c r="E131" s="91" t="s">
        <v>353</v>
      </c>
      <c r="F131" s="91" t="s">
        <v>353</v>
      </c>
      <c r="G131" s="165"/>
      <c r="H131" s="166"/>
    </row>
    <row r="132" spans="1:14" s="5" customFormat="1">
      <c r="A132" s="128" t="s">
        <v>308</v>
      </c>
      <c r="B132" s="129">
        <v>5020</v>
      </c>
      <c r="C132" s="221">
        <f>(C66/C143)*100</f>
        <v>20.238095238095781</v>
      </c>
      <c r="D132" s="221">
        <f>(D66/D143)*100</f>
        <v>8.2073067119795624</v>
      </c>
      <c r="E132" s="91" t="s">
        <v>353</v>
      </c>
      <c r="F132" s="91" t="s">
        <v>353</v>
      </c>
      <c r="G132" s="165"/>
      <c r="H132" s="166"/>
    </row>
    <row r="133" spans="1:14" s="5" customFormat="1">
      <c r="A133" s="90" t="s">
        <v>309</v>
      </c>
      <c r="B133" s="6">
        <v>5030</v>
      </c>
      <c r="C133" s="222">
        <f>(C66/C149)*100</f>
        <v>8.9180327868854832</v>
      </c>
      <c r="D133" s="222">
        <f>(D66/D149)*100</f>
        <v>21.324503311258159</v>
      </c>
      <c r="E133" s="91" t="s">
        <v>353</v>
      </c>
      <c r="F133" s="91" t="s">
        <v>353</v>
      </c>
      <c r="G133" s="165"/>
      <c r="H133" s="166"/>
    </row>
    <row r="134" spans="1:14" s="5" customFormat="1">
      <c r="A134" s="130" t="s">
        <v>153</v>
      </c>
      <c r="B134" s="131">
        <v>5110</v>
      </c>
      <c r="C134" s="223">
        <f>C149/C146</f>
        <v>2.2693452380952381</v>
      </c>
      <c r="D134" s="223">
        <f>D149/D146</f>
        <v>0.62569060773480667</v>
      </c>
      <c r="E134" s="91" t="s">
        <v>353</v>
      </c>
      <c r="F134" s="91" t="s">
        <v>353</v>
      </c>
      <c r="G134" s="165"/>
      <c r="H134" s="166"/>
    </row>
    <row r="135" spans="1:14" s="5" customFormat="1" ht="21.75" customHeight="1" thickBot="1">
      <c r="A135" s="163" t="s">
        <v>310</v>
      </c>
      <c r="B135" s="164">
        <v>5220</v>
      </c>
      <c r="C135" s="224">
        <f>C140/C139</f>
        <v>0.58436395759717319</v>
      </c>
      <c r="D135" s="224">
        <f>D140/D139</f>
        <v>0.38744900407967359</v>
      </c>
      <c r="E135" s="91" t="s">
        <v>353</v>
      </c>
      <c r="F135" s="91" t="s">
        <v>353</v>
      </c>
      <c r="G135" s="167"/>
      <c r="H135" s="168"/>
      <c r="N135" s="5" t="s">
        <v>499</v>
      </c>
    </row>
    <row r="136" spans="1:14" s="5" customFormat="1" ht="19.5" thickBot="1">
      <c r="A136" s="269" t="s">
        <v>277</v>
      </c>
      <c r="B136" s="270"/>
      <c r="C136" s="270"/>
      <c r="D136" s="270"/>
      <c r="E136" s="270"/>
      <c r="F136" s="270"/>
      <c r="G136" s="270"/>
      <c r="H136" s="271"/>
    </row>
    <row r="137" spans="1:14" s="5" customFormat="1" ht="20.100000000000001" customHeight="1">
      <c r="A137" s="128" t="s">
        <v>300</v>
      </c>
      <c r="B137" s="252">
        <v>6000</v>
      </c>
      <c r="C137" s="208">
        <v>188.2</v>
      </c>
      <c r="D137" s="208">
        <v>510.5</v>
      </c>
      <c r="E137" s="116" t="s">
        <v>353</v>
      </c>
      <c r="F137" s="116" t="s">
        <v>353</v>
      </c>
      <c r="G137" s="184">
        <f>D137-C137</f>
        <v>322.3</v>
      </c>
      <c r="H137" s="186">
        <f>(D137/C137)*100</f>
        <v>271.25398512221045</v>
      </c>
    </row>
    <row r="138" spans="1:14" s="5" customFormat="1" ht="19.5" customHeight="1">
      <c r="A138" s="128" t="s">
        <v>301</v>
      </c>
      <c r="B138" s="129">
        <v>6001</v>
      </c>
      <c r="C138" s="225">
        <f>C139-C140</f>
        <v>188.2</v>
      </c>
      <c r="D138" s="225">
        <f>D139-D140</f>
        <v>510.5</v>
      </c>
      <c r="E138" s="116" t="s">
        <v>353</v>
      </c>
      <c r="F138" s="116" t="s">
        <v>353</v>
      </c>
      <c r="G138" s="184">
        <f t="shared" ref="G138:G149" si="10">D138-C138</f>
        <v>322.3</v>
      </c>
      <c r="H138" s="186">
        <f t="shared" ref="H138:H149" si="11">(D138/C138)*100</f>
        <v>271.25398512221045</v>
      </c>
    </row>
    <row r="139" spans="1:14" s="5" customFormat="1" ht="20.100000000000001" customHeight="1">
      <c r="A139" s="128" t="s">
        <v>302</v>
      </c>
      <c r="B139" s="129">
        <v>6002</v>
      </c>
      <c r="C139" s="208">
        <v>452.8</v>
      </c>
      <c r="D139" s="208">
        <v>833.4</v>
      </c>
      <c r="E139" s="116" t="s">
        <v>353</v>
      </c>
      <c r="F139" s="116" t="s">
        <v>353</v>
      </c>
      <c r="G139" s="184">
        <f t="shared" si="10"/>
        <v>380.59999999999997</v>
      </c>
      <c r="H139" s="186">
        <f t="shared" si="11"/>
        <v>184.05477031802121</v>
      </c>
    </row>
    <row r="140" spans="1:14" s="5" customFormat="1" ht="19.5" customHeight="1">
      <c r="A140" s="128" t="s">
        <v>303</v>
      </c>
      <c r="B140" s="129">
        <v>6003</v>
      </c>
      <c r="C140" s="208">
        <v>264.60000000000002</v>
      </c>
      <c r="D140" s="208">
        <v>322.89999999999998</v>
      </c>
      <c r="E140" s="116" t="s">
        <v>353</v>
      </c>
      <c r="F140" s="116" t="s">
        <v>353</v>
      </c>
      <c r="G140" s="184">
        <f t="shared" si="10"/>
        <v>58.299999999999955</v>
      </c>
      <c r="H140" s="186">
        <f t="shared" si="11"/>
        <v>122.03325774754343</v>
      </c>
    </row>
    <row r="141" spans="1:14" s="5" customFormat="1" ht="20.100000000000001" customHeight="1">
      <c r="A141" s="90" t="s">
        <v>304</v>
      </c>
      <c r="B141" s="195">
        <v>6010</v>
      </c>
      <c r="C141" s="208">
        <v>31.5</v>
      </c>
      <c r="D141" s="208">
        <v>78</v>
      </c>
      <c r="E141" s="116" t="s">
        <v>353</v>
      </c>
      <c r="F141" s="116" t="s">
        <v>353</v>
      </c>
      <c r="G141" s="184">
        <f t="shared" si="10"/>
        <v>46.5</v>
      </c>
      <c r="H141" s="186">
        <f t="shared" si="11"/>
        <v>247.61904761904762</v>
      </c>
    </row>
    <row r="142" spans="1:14" s="5" customFormat="1">
      <c r="A142" s="90" t="s">
        <v>305</v>
      </c>
      <c r="B142" s="6">
        <v>6011</v>
      </c>
      <c r="C142" s="208">
        <v>24.3</v>
      </c>
      <c r="D142" s="208">
        <v>64.400000000000006</v>
      </c>
      <c r="E142" s="116" t="s">
        <v>353</v>
      </c>
      <c r="F142" s="116" t="s">
        <v>353</v>
      </c>
      <c r="G142" s="184">
        <f t="shared" si="10"/>
        <v>40.100000000000009</v>
      </c>
      <c r="H142" s="186">
        <f t="shared" si="11"/>
        <v>265.02057613168728</v>
      </c>
    </row>
    <row r="143" spans="1:14" s="5" customFormat="1" ht="19.5" customHeight="1">
      <c r="A143" s="89" t="s">
        <v>180</v>
      </c>
      <c r="B143" s="146">
        <v>6020</v>
      </c>
      <c r="C143" s="207">
        <v>67.2</v>
      </c>
      <c r="D143" s="207">
        <v>588.5</v>
      </c>
      <c r="E143" s="123" t="s">
        <v>353</v>
      </c>
      <c r="F143" s="123" t="s">
        <v>353</v>
      </c>
      <c r="G143" s="210">
        <f t="shared" si="10"/>
        <v>521.29999999999995</v>
      </c>
      <c r="H143" s="185">
        <f t="shared" si="11"/>
        <v>875.74404761904759</v>
      </c>
    </row>
    <row r="144" spans="1:14" s="5" customFormat="1" ht="20.100000000000001" customHeight="1">
      <c r="A144" s="90" t="s">
        <v>122</v>
      </c>
      <c r="B144" s="6">
        <v>6030</v>
      </c>
      <c r="C144" s="208">
        <v>0</v>
      </c>
      <c r="D144" s="208">
        <v>0</v>
      </c>
      <c r="E144" s="116" t="s">
        <v>353</v>
      </c>
      <c r="F144" s="116" t="s">
        <v>353</v>
      </c>
      <c r="G144" s="184">
        <f t="shared" si="10"/>
        <v>0</v>
      </c>
      <c r="H144" s="186" t="e">
        <f t="shared" si="11"/>
        <v>#DIV/0!</v>
      </c>
    </row>
    <row r="145" spans="1:8" s="5" customFormat="1" ht="20.100000000000001" customHeight="1">
      <c r="A145" s="90" t="s">
        <v>123</v>
      </c>
      <c r="B145" s="6">
        <v>6040</v>
      </c>
      <c r="C145" s="208">
        <v>67.2</v>
      </c>
      <c r="D145" s="208">
        <v>362</v>
      </c>
      <c r="E145" s="116" t="s">
        <v>353</v>
      </c>
      <c r="F145" s="116" t="s">
        <v>353</v>
      </c>
      <c r="G145" s="184">
        <f t="shared" si="10"/>
        <v>294.8</v>
      </c>
      <c r="H145" s="186">
        <f t="shared" si="11"/>
        <v>538.69047619047615</v>
      </c>
    </row>
    <row r="146" spans="1:8" s="5" customFormat="1" ht="20.100000000000001" customHeight="1">
      <c r="A146" s="89" t="s">
        <v>181</v>
      </c>
      <c r="B146" s="146">
        <v>6050</v>
      </c>
      <c r="C146" s="226">
        <f>SUM(C144:C145)</f>
        <v>67.2</v>
      </c>
      <c r="D146" s="226">
        <f>SUM(D144:D145)</f>
        <v>362</v>
      </c>
      <c r="E146" s="123" t="s">
        <v>353</v>
      </c>
      <c r="F146" s="123" t="s">
        <v>353</v>
      </c>
      <c r="G146" s="210">
        <f t="shared" si="10"/>
        <v>294.8</v>
      </c>
      <c r="H146" s="185">
        <f t="shared" si="11"/>
        <v>538.69047619047615</v>
      </c>
    </row>
    <row r="147" spans="1:8" s="5" customFormat="1" ht="20.100000000000001" customHeight="1">
      <c r="A147" s="90" t="s">
        <v>359</v>
      </c>
      <c r="B147" s="6">
        <v>6060</v>
      </c>
      <c r="C147" s="208">
        <v>0</v>
      </c>
      <c r="D147" s="208">
        <v>0</v>
      </c>
      <c r="E147" s="116" t="s">
        <v>353</v>
      </c>
      <c r="F147" s="116" t="s">
        <v>353</v>
      </c>
      <c r="G147" s="184">
        <f t="shared" si="10"/>
        <v>0</v>
      </c>
      <c r="H147" s="186" t="e">
        <f t="shared" si="11"/>
        <v>#DIV/0!</v>
      </c>
    </row>
    <row r="148" spans="1:8" s="5" customFormat="1">
      <c r="A148" s="90" t="s">
        <v>360</v>
      </c>
      <c r="B148" s="6">
        <v>6070</v>
      </c>
      <c r="C148" s="208">
        <v>0</v>
      </c>
      <c r="D148" s="208">
        <v>0</v>
      </c>
      <c r="E148" s="116" t="s">
        <v>353</v>
      </c>
      <c r="F148" s="116" t="s">
        <v>353</v>
      </c>
      <c r="G148" s="184">
        <f t="shared" si="10"/>
        <v>0</v>
      </c>
      <c r="H148" s="186" t="e">
        <f t="shared" si="11"/>
        <v>#DIV/0!</v>
      </c>
    </row>
    <row r="149" spans="1:8" s="5" customFormat="1" ht="20.100000000000001" customHeight="1" thickBot="1">
      <c r="A149" s="89" t="s">
        <v>115</v>
      </c>
      <c r="B149" s="146">
        <v>6080</v>
      </c>
      <c r="C149" s="207">
        <v>152.5</v>
      </c>
      <c r="D149" s="207">
        <v>226.5</v>
      </c>
      <c r="E149" s="123" t="s">
        <v>353</v>
      </c>
      <c r="F149" s="123" t="s">
        <v>353</v>
      </c>
      <c r="G149" s="210">
        <f t="shared" si="10"/>
        <v>74</v>
      </c>
      <c r="H149" s="185">
        <f t="shared" si="11"/>
        <v>148.52459016393442</v>
      </c>
    </row>
    <row r="150" spans="1:8" s="5" customFormat="1" ht="19.5" thickBot="1">
      <c r="A150" s="272" t="s">
        <v>278</v>
      </c>
      <c r="B150" s="273"/>
      <c r="C150" s="273"/>
      <c r="D150" s="273"/>
      <c r="E150" s="273"/>
      <c r="F150" s="273"/>
      <c r="G150" s="273"/>
      <c r="H150" s="274"/>
    </row>
    <row r="151" spans="1:8" s="5" customFormat="1" ht="20.100000000000001" customHeight="1">
      <c r="A151" s="124" t="s">
        <v>330</v>
      </c>
      <c r="B151" s="180" t="s">
        <v>279</v>
      </c>
      <c r="C151" s="126">
        <f>SUM(C152:C154)</f>
        <v>0</v>
      </c>
      <c r="D151" s="126">
        <f>SUM(D152:D154)</f>
        <v>0</v>
      </c>
      <c r="E151" s="126">
        <f>SUM(E152:E154)</f>
        <v>0</v>
      </c>
      <c r="F151" s="126">
        <f>SUM(F152:F154)</f>
        <v>0</v>
      </c>
      <c r="G151" s="134">
        <f>F151-E151</f>
        <v>0</v>
      </c>
      <c r="H151" s="156" t="e">
        <f>(F151/E151)*100</f>
        <v>#DIV/0!</v>
      </c>
    </row>
    <row r="152" spans="1:8" s="5" customFormat="1" ht="20.100000000000001" customHeight="1">
      <c r="A152" s="90" t="s">
        <v>361</v>
      </c>
      <c r="B152" s="132" t="s">
        <v>281</v>
      </c>
      <c r="C152" s="116">
        <v>0</v>
      </c>
      <c r="D152" s="116">
        <v>0</v>
      </c>
      <c r="E152" s="121">
        <f>'6.1. Інша інфо_1'!F75</f>
        <v>0</v>
      </c>
      <c r="F152" s="121">
        <f>'6.1. Інша інфо_1'!H75</f>
        <v>0</v>
      </c>
      <c r="G152" s="121">
        <f t="shared" ref="G152:G158" si="12">F152-E152</f>
        <v>0</v>
      </c>
      <c r="H152" s="155" t="e">
        <f t="shared" ref="H152:H158" si="13">(F152/E152)*100</f>
        <v>#DIV/0!</v>
      </c>
    </row>
    <row r="153" spans="1:8" s="5" customFormat="1" ht="20.100000000000001" customHeight="1">
      <c r="A153" s="90" t="s">
        <v>362</v>
      </c>
      <c r="B153" s="132" t="s">
        <v>282</v>
      </c>
      <c r="C153" s="116">
        <v>0</v>
      </c>
      <c r="D153" s="116">
        <v>0</v>
      </c>
      <c r="E153" s="121">
        <f>'6.1. Інша інфо_1'!F78</f>
        <v>0</v>
      </c>
      <c r="F153" s="121">
        <f>'6.1. Інша інфо_1'!H78</f>
        <v>0</v>
      </c>
      <c r="G153" s="121">
        <f t="shared" si="12"/>
        <v>0</v>
      </c>
      <c r="H153" s="155" t="e">
        <f t="shared" si="13"/>
        <v>#DIV/0!</v>
      </c>
    </row>
    <row r="154" spans="1:8" s="5" customFormat="1" ht="20.100000000000001" customHeight="1">
      <c r="A154" s="90" t="s">
        <v>363</v>
      </c>
      <c r="B154" s="132" t="s">
        <v>283</v>
      </c>
      <c r="C154" s="116">
        <v>0</v>
      </c>
      <c r="D154" s="116">
        <v>0</v>
      </c>
      <c r="E154" s="121">
        <f>'6.1. Інша інфо_1'!F81</f>
        <v>0</v>
      </c>
      <c r="F154" s="121">
        <f>'6.1. Інша інфо_1'!H81</f>
        <v>0</v>
      </c>
      <c r="G154" s="121">
        <f t="shared" si="12"/>
        <v>0</v>
      </c>
      <c r="H154" s="155" t="e">
        <f t="shared" si="13"/>
        <v>#DIV/0!</v>
      </c>
    </row>
    <row r="155" spans="1:8" s="5" customFormat="1" ht="20.100000000000001" customHeight="1">
      <c r="A155" s="89" t="s">
        <v>331</v>
      </c>
      <c r="B155" s="181" t="s">
        <v>280</v>
      </c>
      <c r="C155" s="122">
        <f>SUM(C156:C158)</f>
        <v>0</v>
      </c>
      <c r="D155" s="122">
        <f>SUM(D156:D158)</f>
        <v>0</v>
      </c>
      <c r="E155" s="122">
        <f>SUM(E156:E158)</f>
        <v>0</v>
      </c>
      <c r="F155" s="122">
        <f>SUM(F156:F158)</f>
        <v>0</v>
      </c>
      <c r="G155" s="134">
        <f t="shared" si="12"/>
        <v>0</v>
      </c>
      <c r="H155" s="156" t="e">
        <f t="shared" si="13"/>
        <v>#DIV/0!</v>
      </c>
    </row>
    <row r="156" spans="1:8" s="5" customFormat="1" ht="20.100000000000001" customHeight="1">
      <c r="A156" s="90" t="s">
        <v>361</v>
      </c>
      <c r="B156" s="132" t="s">
        <v>284</v>
      </c>
      <c r="C156" s="173">
        <v>0</v>
      </c>
      <c r="D156" s="173">
        <v>0</v>
      </c>
      <c r="E156" s="121">
        <f>'6.1. Інша інфо_1'!J75</f>
        <v>0</v>
      </c>
      <c r="F156" s="121">
        <f>'6.1. Інша інфо_1'!L75</f>
        <v>0</v>
      </c>
      <c r="G156" s="121">
        <f t="shared" si="12"/>
        <v>0</v>
      </c>
      <c r="H156" s="155" t="e">
        <f t="shared" si="13"/>
        <v>#DIV/0!</v>
      </c>
    </row>
    <row r="157" spans="1:8" s="5" customFormat="1" ht="20.100000000000001" customHeight="1">
      <c r="A157" s="90" t="s">
        <v>362</v>
      </c>
      <c r="B157" s="132" t="s">
        <v>285</v>
      </c>
      <c r="C157" s="173">
        <v>0</v>
      </c>
      <c r="D157" s="173">
        <v>0</v>
      </c>
      <c r="E157" s="121">
        <f>'6.1. Інша інфо_1'!J78</f>
        <v>0</v>
      </c>
      <c r="F157" s="121">
        <f>'6.1. Інша інфо_1'!L78</f>
        <v>0</v>
      </c>
      <c r="G157" s="121">
        <f t="shared" si="12"/>
        <v>0</v>
      </c>
      <c r="H157" s="155" t="e">
        <f t="shared" si="13"/>
        <v>#DIV/0!</v>
      </c>
    </row>
    <row r="158" spans="1:8" s="5" customFormat="1" ht="20.100000000000001" customHeight="1" thickBot="1">
      <c r="A158" s="130" t="s">
        <v>363</v>
      </c>
      <c r="B158" s="133" t="s">
        <v>286</v>
      </c>
      <c r="C158" s="173">
        <v>0</v>
      </c>
      <c r="D158" s="173">
        <v>0</v>
      </c>
      <c r="E158" s="121">
        <f>'6.1. Інша інфо_1'!J81</f>
        <v>0</v>
      </c>
      <c r="F158" s="121">
        <f>'6.1. Інша інфо_1'!L81</f>
        <v>0</v>
      </c>
      <c r="G158" s="121">
        <f t="shared" si="12"/>
        <v>0</v>
      </c>
      <c r="H158" s="155" t="e">
        <f t="shared" si="13"/>
        <v>#DIV/0!</v>
      </c>
    </row>
    <row r="159" spans="1:8" s="5" customFormat="1" ht="19.5" thickBot="1">
      <c r="A159" s="269" t="s">
        <v>287</v>
      </c>
      <c r="B159" s="270"/>
      <c r="C159" s="270"/>
      <c r="D159" s="270"/>
      <c r="E159" s="270"/>
      <c r="F159" s="270"/>
      <c r="G159" s="270"/>
      <c r="H159" s="271"/>
    </row>
    <row r="160" spans="1:8" s="5" customFormat="1" ht="60.75" customHeight="1">
      <c r="A160" s="183" t="s">
        <v>454</v>
      </c>
      <c r="B160" s="181" t="s">
        <v>288</v>
      </c>
      <c r="C160" s="210">
        <f>SUM(C161:C165)</f>
        <v>37</v>
      </c>
      <c r="D160" s="210">
        <f>SUM(D161:D165)</f>
        <v>32</v>
      </c>
      <c r="E160" s="210">
        <f>SUM(E161:E165)</f>
        <v>32</v>
      </c>
      <c r="F160" s="254">
        <f>SUM(F161:F165)</f>
        <v>35</v>
      </c>
      <c r="G160" s="210">
        <f>F160-E160</f>
        <v>3</v>
      </c>
      <c r="H160" s="227">
        <f>(F160/E160)*100</f>
        <v>109.375</v>
      </c>
    </row>
    <row r="161" spans="1:14" s="5" customFormat="1" ht="18.75" customHeight="1">
      <c r="A161" s="90" t="s">
        <v>406</v>
      </c>
      <c r="B161" s="132" t="s">
        <v>289</v>
      </c>
      <c r="C161" s="184">
        <f>'6.1. Інша інфо_1'!C12</f>
        <v>0</v>
      </c>
      <c r="D161" s="184">
        <f>'6.1. Інша інфо_1'!D12</f>
        <v>0</v>
      </c>
      <c r="E161" s="184">
        <f>'6.1. Інша інфо_1'!F12</f>
        <v>0</v>
      </c>
      <c r="F161" s="253">
        <f>'6.1. Інша інфо_1'!I12</f>
        <v>0</v>
      </c>
      <c r="G161" s="184">
        <f t="shared" ref="G161:G172" si="14">F161-E161</f>
        <v>0</v>
      </c>
      <c r="H161" s="228" t="e">
        <f t="shared" ref="H161:H172" si="15">(F161/E161)*100</f>
        <v>#DIV/0!</v>
      </c>
    </row>
    <row r="162" spans="1:14" s="5" customFormat="1" ht="18.75" customHeight="1">
      <c r="A162" s="90" t="s">
        <v>412</v>
      </c>
      <c r="B162" s="132" t="s">
        <v>290</v>
      </c>
      <c r="C162" s="184">
        <f>'6.1. Інша інфо_1'!C13</f>
        <v>0</v>
      </c>
      <c r="D162" s="184">
        <f>'6.1. Інша інфо_1'!D13</f>
        <v>0</v>
      </c>
      <c r="E162" s="184">
        <f>'6.1. Інша інфо_1'!F13</f>
        <v>0</v>
      </c>
      <c r="F162" s="253">
        <f>'6.1. Інша інфо_1'!I13</f>
        <v>0</v>
      </c>
      <c r="G162" s="184">
        <f t="shared" si="14"/>
        <v>0</v>
      </c>
      <c r="H162" s="228" t="e">
        <f t="shared" si="15"/>
        <v>#DIV/0!</v>
      </c>
    </row>
    <row r="163" spans="1:14" s="5" customFormat="1">
      <c r="A163" s="8" t="s">
        <v>421</v>
      </c>
      <c r="B163" s="132" t="s">
        <v>291</v>
      </c>
      <c r="C163" s="184">
        <v>1</v>
      </c>
      <c r="D163" s="184">
        <v>1</v>
      </c>
      <c r="E163" s="184">
        <f>'6.1. Інша інфо_1'!F14</f>
        <v>1</v>
      </c>
      <c r="F163" s="253">
        <f>'6.1. Інша інфо_1'!I14</f>
        <v>1</v>
      </c>
      <c r="G163" s="184">
        <f t="shared" si="14"/>
        <v>0</v>
      </c>
      <c r="H163" s="228">
        <f t="shared" si="15"/>
        <v>100</v>
      </c>
    </row>
    <row r="164" spans="1:14" s="5" customFormat="1">
      <c r="A164" s="8" t="s">
        <v>192</v>
      </c>
      <c r="B164" s="132" t="s">
        <v>415</v>
      </c>
      <c r="C164" s="184">
        <v>3</v>
      </c>
      <c r="D164" s="184">
        <v>3</v>
      </c>
      <c r="E164" s="184">
        <f>'6.1. Інша інфо_1'!F15</f>
        <v>3</v>
      </c>
      <c r="F164" s="253">
        <f>'6.1. Інша інфо_1'!I15</f>
        <v>3</v>
      </c>
      <c r="G164" s="184">
        <f t="shared" si="14"/>
        <v>0</v>
      </c>
      <c r="H164" s="228">
        <f t="shared" si="15"/>
        <v>100</v>
      </c>
    </row>
    <row r="165" spans="1:14" s="5" customFormat="1">
      <c r="A165" s="8" t="s">
        <v>193</v>
      </c>
      <c r="B165" s="132" t="s">
        <v>416</v>
      </c>
      <c r="C165" s="184">
        <v>33</v>
      </c>
      <c r="D165" s="184">
        <v>28</v>
      </c>
      <c r="E165" s="184">
        <f>'6.1. Інша інфо_1'!F16</f>
        <v>28</v>
      </c>
      <c r="F165" s="253">
        <f>'6.1. Інша інфо_1'!I16</f>
        <v>31</v>
      </c>
      <c r="G165" s="184">
        <f t="shared" si="14"/>
        <v>3</v>
      </c>
      <c r="H165" s="228">
        <f t="shared" si="15"/>
        <v>110.71428571428572</v>
      </c>
      <c r="N165" s="260"/>
    </row>
    <row r="166" spans="1:14" s="5" customFormat="1" ht="20.100000000000001" customHeight="1">
      <c r="A166" s="89" t="s">
        <v>5</v>
      </c>
      <c r="B166" s="181" t="s">
        <v>292</v>
      </c>
      <c r="C166" s="210">
        <v>1580.2</v>
      </c>
      <c r="D166" s="210">
        <v>1805.4</v>
      </c>
      <c r="E166" s="210">
        <f>'I. Фін результат'!E129</f>
        <v>1229.5</v>
      </c>
      <c r="F166" s="254">
        <f>'I. Фін результат'!F129</f>
        <v>1072.5</v>
      </c>
      <c r="G166" s="210">
        <f t="shared" si="14"/>
        <v>-157</v>
      </c>
      <c r="H166" s="227">
        <f t="shared" si="15"/>
        <v>87.230581537210256</v>
      </c>
    </row>
    <row r="167" spans="1:14" s="5" customFormat="1" ht="37.5">
      <c r="A167" s="89" t="s">
        <v>432</v>
      </c>
      <c r="B167" s="181" t="s">
        <v>293</v>
      </c>
      <c r="C167" s="210">
        <f>(C166/C160)/6*1000</f>
        <v>7118.0180180180178</v>
      </c>
      <c r="D167" s="210">
        <f>D166/D160/6*1000</f>
        <v>9403.1250000000018</v>
      </c>
      <c r="E167" s="210">
        <f>'6.1. Інша інфо_1'!F29</f>
        <v>18743.750000000004</v>
      </c>
      <c r="F167" s="254">
        <f>'6.1. Інша інфо_1'!I29</f>
        <v>10214.285714285714</v>
      </c>
      <c r="G167" s="210">
        <f t="shared" si="14"/>
        <v>-8529.4642857142899</v>
      </c>
      <c r="H167" s="227">
        <f t="shared" si="15"/>
        <v>54.494355261277562</v>
      </c>
    </row>
    <row r="168" spans="1:14" s="5" customFormat="1" ht="20.100000000000001" customHeight="1">
      <c r="A168" s="90" t="s">
        <v>419</v>
      </c>
      <c r="B168" s="132" t="s">
        <v>294</v>
      </c>
      <c r="C168" s="184">
        <f>'6.1. Інша інфо_1'!C30</f>
        <v>0</v>
      </c>
      <c r="D168" s="184">
        <f>'6.1. Інша інфо_1'!D30</f>
        <v>0</v>
      </c>
      <c r="E168" s="210">
        <f>'6.1. Інша інфо_1'!F30</f>
        <v>0</v>
      </c>
      <c r="F168" s="254">
        <f>'6.1. Інша інфо_1'!I30</f>
        <v>0</v>
      </c>
      <c r="G168" s="184">
        <f t="shared" si="14"/>
        <v>0</v>
      </c>
      <c r="H168" s="228" t="e">
        <f t="shared" si="15"/>
        <v>#DIV/0!</v>
      </c>
    </row>
    <row r="169" spans="1:14" s="5" customFormat="1" ht="20.100000000000001" customHeight="1">
      <c r="A169" s="90" t="s">
        <v>420</v>
      </c>
      <c r="B169" s="132" t="s">
        <v>295</v>
      </c>
      <c r="C169" s="184">
        <f>'6.1. Інша інфо_1'!C31</f>
        <v>0</v>
      </c>
      <c r="D169" s="184"/>
      <c r="E169" s="210">
        <f>'6.1. Інша інфо_1'!F31</f>
        <v>0</v>
      </c>
      <c r="F169" s="254">
        <f>'6.1. Інша інфо_1'!I31</f>
        <v>0</v>
      </c>
      <c r="G169" s="184">
        <f t="shared" si="14"/>
        <v>0</v>
      </c>
      <c r="H169" s="228" t="e">
        <f t="shared" si="15"/>
        <v>#DIV/0!</v>
      </c>
    </row>
    <row r="170" spans="1:14" s="5" customFormat="1" ht="20.100000000000001" customHeight="1">
      <c r="A170" s="8" t="s">
        <v>421</v>
      </c>
      <c r="B170" s="132" t="s">
        <v>296</v>
      </c>
      <c r="C170" s="184">
        <v>27866.7</v>
      </c>
      <c r="D170" s="184">
        <v>25733.4</v>
      </c>
      <c r="E170" s="210">
        <f>'6.1. Інша інфо_1'!F32</f>
        <v>35666.666666666664</v>
      </c>
      <c r="F170" s="254">
        <f>'6.1. Інша інфо_1'!I32</f>
        <v>29266.666666666664</v>
      </c>
      <c r="G170" s="184">
        <f t="shared" si="14"/>
        <v>-6400</v>
      </c>
      <c r="H170" s="228">
        <f t="shared" si="15"/>
        <v>82.056074766355138</v>
      </c>
    </row>
    <row r="171" spans="1:14" s="5" customFormat="1" ht="20.100000000000001" customHeight="1">
      <c r="A171" s="8" t="s">
        <v>423</v>
      </c>
      <c r="B171" s="132" t="s">
        <v>413</v>
      </c>
      <c r="C171" s="184">
        <v>27900</v>
      </c>
      <c r="D171" s="184">
        <v>14605.6</v>
      </c>
      <c r="E171" s="210">
        <f>'6.1. Інша інфо_1'!F36</f>
        <v>15711.111111111109</v>
      </c>
      <c r="F171" s="254">
        <f>'6.1. Інша інфо_1'!I36</f>
        <v>17377.777777777777</v>
      </c>
      <c r="G171" s="184">
        <f t="shared" si="14"/>
        <v>1666.6666666666679</v>
      </c>
      <c r="H171" s="228">
        <f t="shared" si="15"/>
        <v>110.6082036775106</v>
      </c>
    </row>
    <row r="172" spans="1:14" s="5" customFormat="1" ht="20.100000000000001" customHeight="1">
      <c r="A172" s="8" t="s">
        <v>422</v>
      </c>
      <c r="B172" s="132" t="s">
        <v>414</v>
      </c>
      <c r="C172" s="184">
        <v>12580.8</v>
      </c>
      <c r="D172" s="184">
        <v>7785.4</v>
      </c>
      <c r="E172" s="210">
        <f>'6.1. Інша інфо_1'!F37</f>
        <v>11679.761904761905</v>
      </c>
      <c r="F172" s="254">
        <f>'6.1. Інша інфо_1'!I37</f>
        <v>8813.9784946236559</v>
      </c>
      <c r="G172" s="184">
        <f t="shared" si="14"/>
        <v>-2865.7834101382487</v>
      </c>
      <c r="H172" s="228">
        <f t="shared" si="15"/>
        <v>75.463682962836316</v>
      </c>
    </row>
    <row r="173" spans="1:14" s="5" customFormat="1" ht="20.100000000000001" customHeight="1">
      <c r="A173" s="27"/>
      <c r="B173" s="151"/>
      <c r="C173" s="152"/>
      <c r="D173" s="152"/>
      <c r="E173" s="153"/>
      <c r="F173" s="153"/>
      <c r="G173" s="153"/>
      <c r="H173" s="154"/>
    </row>
    <row r="174" spans="1:14" s="5" customFormat="1" ht="20.100000000000001" customHeight="1">
      <c r="A174" s="27" t="s">
        <v>578</v>
      </c>
      <c r="B174" s="151"/>
      <c r="C174" s="291"/>
      <c r="D174" s="292"/>
      <c r="E174" s="292"/>
      <c r="F174" s="153"/>
      <c r="G174" s="290" t="s">
        <v>554</v>
      </c>
      <c r="H174" s="290"/>
    </row>
    <row r="175" spans="1:14">
      <c r="A175" s="68"/>
      <c r="C175" s="284" t="s">
        <v>579</v>
      </c>
      <c r="D175" s="293"/>
      <c r="E175" s="293"/>
    </row>
    <row r="176" spans="1:14" ht="18.75" customHeight="1">
      <c r="A176" s="259" t="s">
        <v>581</v>
      </c>
      <c r="B176" s="1"/>
      <c r="C176" s="284" t="s">
        <v>582</v>
      </c>
      <c r="D176" s="284"/>
      <c r="E176" s="284"/>
      <c r="F176" s="284"/>
      <c r="G176" s="290" t="s">
        <v>580</v>
      </c>
      <c r="H176" s="290"/>
    </row>
    <row r="177" spans="1:9" s="2" customFormat="1" ht="20.100000000000001" customHeight="1">
      <c r="A177" s="78" t="s">
        <v>317</v>
      </c>
      <c r="B177" s="3"/>
      <c r="C177" s="284"/>
      <c r="D177" s="284"/>
      <c r="E177" s="284"/>
      <c r="F177" s="284"/>
      <c r="G177" s="289" t="s">
        <v>85</v>
      </c>
      <c r="H177" s="289"/>
      <c r="I177" s="4"/>
    </row>
    <row r="178" spans="1:9">
      <c r="A178" s="68"/>
    </row>
    <row r="179" spans="1:9">
      <c r="A179" s="68"/>
    </row>
    <row r="180" spans="1:9">
      <c r="A180" s="68"/>
    </row>
    <row r="181" spans="1:9">
      <c r="A181" s="68"/>
    </row>
    <row r="182" spans="1:9">
      <c r="A182" s="68"/>
    </row>
    <row r="183" spans="1:9">
      <c r="A183" s="68"/>
    </row>
    <row r="184" spans="1:9">
      <c r="A184" s="68"/>
    </row>
    <row r="185" spans="1:9">
      <c r="A185" s="68"/>
    </row>
    <row r="186" spans="1:9">
      <c r="A186" s="68"/>
    </row>
    <row r="187" spans="1:9">
      <c r="A187" s="68"/>
    </row>
    <row r="188" spans="1:9">
      <c r="A188" s="68"/>
    </row>
    <row r="189" spans="1:9">
      <c r="A189" s="68"/>
    </row>
    <row r="190" spans="1:9">
      <c r="A190" s="68"/>
    </row>
    <row r="191" spans="1:9">
      <c r="A191" s="68"/>
    </row>
    <row r="192" spans="1:9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68"/>
    </row>
    <row r="332" spans="1:1">
      <c r="A332" s="68"/>
    </row>
    <row r="333" spans="1:1">
      <c r="A333" s="68"/>
    </row>
    <row r="334" spans="1:1">
      <c r="A334" s="68"/>
    </row>
    <row r="335" spans="1:1">
      <c r="A335" s="68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  <row r="500" spans="1:1">
      <c r="A500" s="52"/>
    </row>
    <row r="501" spans="1:1">
      <c r="A501" s="52"/>
    </row>
  </sheetData>
  <mergeCells count="45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C174:E174"/>
    <mergeCell ref="C175:E175"/>
    <mergeCell ref="G174:H174"/>
    <mergeCell ref="B21:E21"/>
    <mergeCell ref="A81:H81"/>
    <mergeCell ref="A26:H26"/>
    <mergeCell ref="E30:H30"/>
    <mergeCell ref="A33:H33"/>
    <mergeCell ref="A28:H28"/>
    <mergeCell ref="B30:B31"/>
    <mergeCell ref="A109:H109"/>
    <mergeCell ref="A117:H117"/>
    <mergeCell ref="A95:H95"/>
    <mergeCell ref="A82:H82"/>
    <mergeCell ref="A23:H23"/>
    <mergeCell ref="A30:A31"/>
    <mergeCell ref="A25:H25"/>
    <mergeCell ref="A24:H24"/>
    <mergeCell ref="C30:D30"/>
    <mergeCell ref="B15:E15"/>
    <mergeCell ref="B16:E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6:G16"/>
    <mergeCell ref="F17:G17"/>
    <mergeCell ref="B18:E18"/>
    <mergeCell ref="B20:E20"/>
    <mergeCell ref="B17:E17"/>
    <mergeCell ref="B19:E19"/>
  </mergeCells>
  <phoneticPr fontId="3" type="noConversion"/>
  <pageMargins left="1.1811023622047245" right="0.39370078740157483" top="0.78740157480314965" bottom="0.78740157480314965" header="0.31496062992125984" footer="0.19685039370078741"/>
  <pageSetup paperSize="9" scale="55" orientation="landscape" horizontalDpi="300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4" manualBreakCount="4">
    <brk id="46" max="7" man="1"/>
    <brk id="84" max="7" man="1"/>
    <brk id="116" max="7" man="1"/>
    <brk id="149" max="7" man="1"/>
  </rowBreaks>
  <ignoredErrors>
    <ignoredError sqref="G110 H83 H96 H110 H118 H160 H151 H34 H137 C135 C51 C131 C132 C133 C134" evalError="1"/>
    <ignoredError sqref="B119 B151:B158 B166:B1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63"/>
  <sheetViews>
    <sheetView view="pageBreakPreview" zoomScale="75" zoomScaleNormal="64" zoomScaleSheetLayoutView="75" workbookViewId="0">
      <pane xSplit="2" ySplit="6" topLeftCell="C63" activePane="bottomRight" state="frozen"/>
      <selection activeCell="A67" sqref="A67"/>
      <selection pane="topRight" activeCell="A67" sqref="A67"/>
      <selection pane="bottomLeft" activeCell="A67" sqref="A67"/>
      <selection pane="bottomRight" activeCell="D131" sqref="D131"/>
    </sheetView>
  </sheetViews>
  <sheetFormatPr defaultRowHeight="18.75"/>
  <cols>
    <col min="1" max="1" width="92.85546875" style="3" customWidth="1"/>
    <col min="2" max="2" width="14.7109375" style="24" customWidth="1"/>
    <col min="3" max="3" width="16.42578125" style="197" customWidth="1"/>
    <col min="4" max="5" width="16.42578125" style="24" customWidth="1"/>
    <col min="6" max="6" width="14.85546875" style="24" customWidth="1"/>
    <col min="7" max="7" width="19.140625" style="24" customWidth="1"/>
    <col min="8" max="8" width="18" style="24" customWidth="1"/>
    <col min="9" max="9" width="21.5703125" style="24" customWidth="1"/>
    <col min="10" max="16384" width="9.140625" style="3"/>
  </cols>
  <sheetData>
    <row r="1" spans="1:9">
      <c r="A1" s="300" t="s">
        <v>83</v>
      </c>
      <c r="B1" s="300"/>
      <c r="C1" s="300"/>
      <c r="D1" s="300"/>
      <c r="E1" s="300"/>
      <c r="F1" s="300"/>
      <c r="G1" s="300"/>
      <c r="H1" s="300"/>
      <c r="I1" s="300"/>
    </row>
    <row r="2" spans="1:9" ht="12.75" customHeight="1">
      <c r="A2" s="45"/>
      <c r="B2" s="55"/>
      <c r="C2" s="193"/>
      <c r="D2" s="55"/>
      <c r="E2" s="55"/>
      <c r="F2" s="55"/>
      <c r="G2" s="55"/>
      <c r="H2" s="55"/>
      <c r="I2" s="55"/>
    </row>
    <row r="3" spans="1:9" ht="39" customHeight="1">
      <c r="A3" s="282" t="s">
        <v>189</v>
      </c>
      <c r="B3" s="283" t="s">
        <v>18</v>
      </c>
      <c r="C3" s="283" t="s">
        <v>318</v>
      </c>
      <c r="D3" s="283"/>
      <c r="E3" s="282" t="s">
        <v>453</v>
      </c>
      <c r="F3" s="282"/>
      <c r="G3" s="282"/>
      <c r="H3" s="282"/>
      <c r="I3" s="282"/>
    </row>
    <row r="4" spans="1:9" ht="112.5">
      <c r="A4" s="282"/>
      <c r="B4" s="283"/>
      <c r="C4" s="194" t="s">
        <v>176</v>
      </c>
      <c r="D4" s="7" t="s">
        <v>177</v>
      </c>
      <c r="E4" s="7" t="s">
        <v>178</v>
      </c>
      <c r="F4" s="7" t="s">
        <v>166</v>
      </c>
      <c r="G4" s="73" t="s">
        <v>184</v>
      </c>
      <c r="H4" s="73" t="s">
        <v>185</v>
      </c>
      <c r="I4" s="7" t="s">
        <v>183</v>
      </c>
    </row>
    <row r="5" spans="1:9">
      <c r="A5" s="6">
        <v>1</v>
      </c>
      <c r="B5" s="7">
        <v>2</v>
      </c>
      <c r="C5" s="195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301" t="s">
        <v>182</v>
      </c>
      <c r="B6" s="301"/>
      <c r="C6" s="301"/>
      <c r="D6" s="301"/>
      <c r="E6" s="301"/>
      <c r="F6" s="301"/>
      <c r="G6" s="301"/>
      <c r="H6" s="301"/>
      <c r="I6" s="301"/>
    </row>
    <row r="7" spans="1:9" s="5" customFormat="1" ht="19.5" customHeight="1">
      <c r="A7" s="10" t="s">
        <v>140</v>
      </c>
      <c r="B7" s="11">
        <v>1000</v>
      </c>
      <c r="C7" s="232">
        <v>43.9</v>
      </c>
      <c r="D7" s="210">
        <v>90.2</v>
      </c>
      <c r="E7" s="210">
        <v>40</v>
      </c>
      <c r="F7" s="210">
        <v>0</v>
      </c>
      <c r="G7" s="210">
        <f>F7-E7</f>
        <v>-40</v>
      </c>
      <c r="H7" s="150">
        <f>(F7/E7)*100</f>
        <v>0</v>
      </c>
      <c r="I7" s="97"/>
    </row>
    <row r="8" spans="1:9" ht="19.5" customHeight="1">
      <c r="A8" s="8" t="s">
        <v>124</v>
      </c>
      <c r="B8" s="9">
        <v>1010</v>
      </c>
      <c r="C8" s="233">
        <f>SUM(C9:C16)</f>
        <v>-1531.1</v>
      </c>
      <c r="D8" s="184">
        <f>SUM(D9:D16)</f>
        <v>-1753.8999999999999</v>
      </c>
      <c r="E8" s="184">
        <f>SUM(E9:E16)</f>
        <v>-1220.4000000000001</v>
      </c>
      <c r="F8" s="184">
        <f>SUM(F9:F16)</f>
        <v>-1043.9000000000001</v>
      </c>
      <c r="G8" s="184">
        <f t="shared" ref="G8:G106" si="0">F8-E8</f>
        <v>176.5</v>
      </c>
      <c r="H8" s="149">
        <f t="shared" ref="H8:H106" si="1">(F8/E8)*100</f>
        <v>85.537528679121593</v>
      </c>
      <c r="I8" s="96"/>
    </row>
    <row r="9" spans="1:9" s="2" customFormat="1" ht="20.100000000000001" customHeight="1">
      <c r="A9" s="8" t="s">
        <v>364</v>
      </c>
      <c r="B9" s="7">
        <v>1011</v>
      </c>
      <c r="C9" s="188">
        <v>0</v>
      </c>
      <c r="D9" s="184">
        <v>0</v>
      </c>
      <c r="E9" s="184">
        <v>0</v>
      </c>
      <c r="F9" s="184">
        <v>0</v>
      </c>
      <c r="G9" s="184">
        <f>F9-E9</f>
        <v>0</v>
      </c>
      <c r="H9" s="149" t="e">
        <f>(F9/E9)*100</f>
        <v>#DIV/0!</v>
      </c>
      <c r="I9" s="95"/>
    </row>
    <row r="10" spans="1:9" s="2" customFormat="1" ht="20.100000000000001" customHeight="1">
      <c r="A10" s="8" t="s">
        <v>365</v>
      </c>
      <c r="B10" s="7">
        <v>1012</v>
      </c>
      <c r="C10" s="188">
        <v>0</v>
      </c>
      <c r="D10" s="184">
        <v>0</v>
      </c>
      <c r="E10" s="184">
        <v>0</v>
      </c>
      <c r="F10" s="184">
        <v>0</v>
      </c>
      <c r="G10" s="184">
        <f>F10-E10</f>
        <v>0</v>
      </c>
      <c r="H10" s="149" t="e">
        <f t="shared" si="1"/>
        <v>#DIV/0!</v>
      </c>
      <c r="I10" s="95"/>
    </row>
    <row r="11" spans="1:9" s="2" customFormat="1" ht="20.100000000000001" customHeight="1">
      <c r="A11" s="8" t="s">
        <v>366</v>
      </c>
      <c r="B11" s="7">
        <v>1013</v>
      </c>
      <c r="C11" s="188">
        <v>0</v>
      </c>
      <c r="D11" s="184">
        <v>0</v>
      </c>
      <c r="E11" s="184">
        <v>0</v>
      </c>
      <c r="F11" s="184">
        <v>0</v>
      </c>
      <c r="G11" s="234">
        <f>F11-E11</f>
        <v>0</v>
      </c>
      <c r="H11" s="149" t="e">
        <f t="shared" si="1"/>
        <v>#DIV/0!</v>
      </c>
      <c r="I11" s="95"/>
    </row>
    <row r="12" spans="1:9" s="2" customFormat="1" ht="20.100000000000001" customHeight="1">
      <c r="A12" s="8" t="s">
        <v>5</v>
      </c>
      <c r="B12" s="7">
        <v>1014</v>
      </c>
      <c r="C12" s="188">
        <v>-1245.5</v>
      </c>
      <c r="D12" s="184">
        <f>-559.8-828.3</f>
        <v>-1388.1</v>
      </c>
      <c r="E12" s="184">
        <v>-981.1</v>
      </c>
      <c r="F12" s="184">
        <v>-828.3</v>
      </c>
      <c r="G12" s="184">
        <f t="shared" si="0"/>
        <v>152.80000000000007</v>
      </c>
      <c r="H12" s="149">
        <f t="shared" si="1"/>
        <v>84.425644684537758</v>
      </c>
      <c r="I12" s="95"/>
    </row>
    <row r="13" spans="1:9" s="2" customFormat="1" ht="20.100000000000001" customHeight="1">
      <c r="A13" s="8" t="s">
        <v>6</v>
      </c>
      <c r="B13" s="7">
        <v>1015</v>
      </c>
      <c r="C13" s="188">
        <v>-266.10000000000002</v>
      </c>
      <c r="D13" s="184">
        <f>-123.4-198.9</f>
        <v>-322.3</v>
      </c>
      <c r="E13" s="184">
        <v>-215.8</v>
      </c>
      <c r="F13" s="184">
        <v>-198.9</v>
      </c>
      <c r="G13" s="184">
        <f t="shared" si="0"/>
        <v>16.900000000000006</v>
      </c>
      <c r="H13" s="149">
        <f t="shared" si="1"/>
        <v>92.168674698795186</v>
      </c>
      <c r="I13" s="95"/>
    </row>
    <row r="14" spans="1:9" s="2" customFormat="1" ht="37.5">
      <c r="A14" s="8" t="s">
        <v>367</v>
      </c>
      <c r="B14" s="7">
        <v>1016</v>
      </c>
      <c r="C14" s="188">
        <v>0</v>
      </c>
      <c r="D14" s="184">
        <v>-3.2</v>
      </c>
      <c r="E14" s="184">
        <v>0</v>
      </c>
      <c r="F14" s="184">
        <v>0</v>
      </c>
      <c r="G14" s="184">
        <f t="shared" si="0"/>
        <v>0</v>
      </c>
      <c r="H14" s="149" t="e">
        <f t="shared" si="1"/>
        <v>#DIV/0!</v>
      </c>
      <c r="I14" s="95"/>
    </row>
    <row r="15" spans="1:9" s="2" customFormat="1" ht="20.100000000000001" customHeight="1">
      <c r="A15" s="8" t="s">
        <v>368</v>
      </c>
      <c r="B15" s="7">
        <v>1017</v>
      </c>
      <c r="C15" s="188">
        <v>-19.2</v>
      </c>
      <c r="D15" s="184">
        <f>-11.8-15.3</f>
        <v>-27.1</v>
      </c>
      <c r="E15" s="184">
        <v>-13</v>
      </c>
      <c r="F15" s="184">
        <v>-15.3</v>
      </c>
      <c r="G15" s="184">
        <f t="shared" si="0"/>
        <v>-2.3000000000000007</v>
      </c>
      <c r="H15" s="149">
        <f t="shared" si="1"/>
        <v>117.69230769230769</v>
      </c>
      <c r="I15" s="95"/>
    </row>
    <row r="16" spans="1:9" s="2" customFormat="1" ht="20.100000000000001" customHeight="1">
      <c r="A16" s="8" t="s">
        <v>369</v>
      </c>
      <c r="B16" s="7">
        <v>1018</v>
      </c>
      <c r="C16" s="184">
        <f t="shared" ref="C16:H16" si="2">SUM(C17:C21)</f>
        <v>-0.3</v>
      </c>
      <c r="D16" s="184">
        <f>SUM(D17:D22)</f>
        <v>-13.2</v>
      </c>
      <c r="E16" s="184">
        <f t="shared" si="2"/>
        <v>-10.5</v>
      </c>
      <c r="F16" s="184">
        <f>SUM(F17:F22)</f>
        <v>-1.4</v>
      </c>
      <c r="G16" s="184">
        <f t="shared" si="2"/>
        <v>9.9</v>
      </c>
      <c r="H16" s="234" t="e">
        <f t="shared" si="2"/>
        <v>#DIV/0!</v>
      </c>
      <c r="I16" s="95"/>
    </row>
    <row r="17" spans="1:9" s="2" customFormat="1" ht="20.100000000000001" customHeight="1">
      <c r="A17" s="8" t="s">
        <v>545</v>
      </c>
      <c r="B17" s="7" t="s">
        <v>455</v>
      </c>
      <c r="C17" s="188">
        <v>-0.3</v>
      </c>
      <c r="D17" s="184">
        <v>0</v>
      </c>
      <c r="E17" s="184">
        <v>0</v>
      </c>
      <c r="F17" s="184">
        <v>0</v>
      </c>
      <c r="G17" s="184">
        <v>0</v>
      </c>
      <c r="H17" s="149" t="e">
        <f t="shared" ref="H17:H22" si="3">(F17/E17)*100</f>
        <v>#DIV/0!</v>
      </c>
      <c r="I17" s="95"/>
    </row>
    <row r="18" spans="1:9" s="2" customFormat="1" ht="19.5" customHeight="1">
      <c r="A18" s="8" t="s">
        <v>541</v>
      </c>
      <c r="B18" s="7" t="s">
        <v>456</v>
      </c>
      <c r="C18" s="188">
        <v>0</v>
      </c>
      <c r="D18" s="184">
        <v>-0.6</v>
      </c>
      <c r="E18" s="184">
        <v>-1</v>
      </c>
      <c r="F18" s="184">
        <v>-0.6</v>
      </c>
      <c r="G18" s="184">
        <f t="shared" si="0"/>
        <v>0.4</v>
      </c>
      <c r="H18" s="149">
        <f t="shared" si="3"/>
        <v>60</v>
      </c>
      <c r="I18" s="95"/>
    </row>
    <row r="19" spans="1:9" s="2" customFormat="1" ht="20.100000000000001" customHeight="1">
      <c r="A19" s="8" t="s">
        <v>501</v>
      </c>
      <c r="B19" s="7" t="s">
        <v>457</v>
      </c>
      <c r="C19" s="188">
        <v>0</v>
      </c>
      <c r="D19" s="184">
        <v>-10</v>
      </c>
      <c r="E19" s="184">
        <v>-4</v>
      </c>
      <c r="F19" s="184">
        <v>0</v>
      </c>
      <c r="G19" s="184">
        <f t="shared" si="0"/>
        <v>4</v>
      </c>
      <c r="H19" s="149">
        <f t="shared" si="3"/>
        <v>0</v>
      </c>
      <c r="I19" s="95"/>
    </row>
    <row r="20" spans="1:9" s="2" customFormat="1" ht="20.100000000000001" customHeight="1">
      <c r="A20" s="8" t="s">
        <v>500</v>
      </c>
      <c r="B20" s="7" t="s">
        <v>458</v>
      </c>
      <c r="C20" s="188">
        <v>0</v>
      </c>
      <c r="D20" s="184">
        <v>0</v>
      </c>
      <c r="E20" s="184">
        <v>-5</v>
      </c>
      <c r="F20" s="184">
        <v>0</v>
      </c>
      <c r="G20" s="184">
        <f t="shared" si="0"/>
        <v>5</v>
      </c>
      <c r="H20" s="149">
        <f t="shared" si="3"/>
        <v>0</v>
      </c>
      <c r="I20" s="95"/>
    </row>
    <row r="21" spans="1:9" s="2" customFormat="1" ht="20.100000000000001" customHeight="1">
      <c r="A21" s="8" t="s">
        <v>502</v>
      </c>
      <c r="B21" s="7" t="s">
        <v>459</v>
      </c>
      <c r="C21" s="188">
        <v>0</v>
      </c>
      <c r="D21" s="184">
        <v>0</v>
      </c>
      <c r="E21" s="184">
        <v>-0.5</v>
      </c>
      <c r="F21" s="184">
        <v>0</v>
      </c>
      <c r="G21" s="184">
        <f>F21-E21</f>
        <v>0.5</v>
      </c>
      <c r="H21" s="149">
        <f t="shared" si="3"/>
        <v>0</v>
      </c>
      <c r="I21" s="95"/>
    </row>
    <row r="22" spans="1:9" s="2" customFormat="1" ht="20.100000000000001" customHeight="1">
      <c r="A22" s="8" t="s">
        <v>555</v>
      </c>
      <c r="B22" s="7" t="s">
        <v>556</v>
      </c>
      <c r="C22" s="188">
        <v>0</v>
      </c>
      <c r="D22" s="184">
        <v>-2.6</v>
      </c>
      <c r="E22" s="184">
        <v>0</v>
      </c>
      <c r="F22" s="184">
        <v>-0.8</v>
      </c>
      <c r="G22" s="184">
        <f>F22-E22</f>
        <v>-0.8</v>
      </c>
      <c r="H22" s="149" t="e">
        <f t="shared" si="3"/>
        <v>#DIV/0!</v>
      </c>
      <c r="I22" s="95"/>
    </row>
    <row r="23" spans="1:9" s="5" customFormat="1" ht="19.5" customHeight="1">
      <c r="A23" s="10" t="s">
        <v>24</v>
      </c>
      <c r="B23" s="11">
        <v>1020</v>
      </c>
      <c r="C23" s="212">
        <f>SUM(C7,C8)</f>
        <v>-1487.1999999999998</v>
      </c>
      <c r="D23" s="210">
        <f>SUM(D7,D8)</f>
        <v>-1663.6999999999998</v>
      </c>
      <c r="E23" s="210">
        <f>SUM(E7,E8)</f>
        <v>-1180.4000000000001</v>
      </c>
      <c r="F23" s="210">
        <f>SUM(F7,F8)</f>
        <v>-1043.9000000000001</v>
      </c>
      <c r="G23" s="210">
        <f t="shared" si="0"/>
        <v>136.5</v>
      </c>
      <c r="H23" s="150">
        <f t="shared" si="1"/>
        <v>88.436123348017631</v>
      </c>
      <c r="I23" s="97"/>
    </row>
    <row r="24" spans="1:9" ht="20.100000000000001" customHeight="1">
      <c r="A24" s="8" t="s">
        <v>150</v>
      </c>
      <c r="B24" s="9">
        <v>1030</v>
      </c>
      <c r="C24" s="233">
        <f>SUM(C25:C44,C46)</f>
        <v>-423.3</v>
      </c>
      <c r="D24" s="184">
        <f>SUM(D25:D44,D46)</f>
        <v>-516.20000000000005</v>
      </c>
      <c r="E24" s="184">
        <f>SUM(E25:E44,E46)</f>
        <v>-320.25</v>
      </c>
      <c r="F24" s="184">
        <f>SUM(F25:F44,F46)</f>
        <v>-299.60000000000002</v>
      </c>
      <c r="G24" s="184">
        <f t="shared" si="0"/>
        <v>20.649999999999977</v>
      </c>
      <c r="H24" s="149">
        <f t="shared" si="1"/>
        <v>93.551912568306022</v>
      </c>
      <c r="I24" s="96"/>
    </row>
    <row r="25" spans="1:9" ht="20.100000000000001" customHeight="1">
      <c r="A25" s="8" t="s">
        <v>92</v>
      </c>
      <c r="B25" s="9">
        <v>1031</v>
      </c>
      <c r="C25" s="188">
        <v>0</v>
      </c>
      <c r="D25" s="184">
        <v>0</v>
      </c>
      <c r="E25" s="184">
        <v>0</v>
      </c>
      <c r="F25" s="184">
        <v>0</v>
      </c>
      <c r="G25" s="184">
        <f t="shared" si="0"/>
        <v>0</v>
      </c>
      <c r="H25" s="149" t="e">
        <f t="shared" si="1"/>
        <v>#DIV/0!</v>
      </c>
      <c r="I25" s="96"/>
    </row>
    <row r="26" spans="1:9" ht="20.100000000000001" customHeight="1">
      <c r="A26" s="8" t="s">
        <v>142</v>
      </c>
      <c r="B26" s="9">
        <v>1032</v>
      </c>
      <c r="C26" s="188">
        <v>0</v>
      </c>
      <c r="D26" s="184">
        <v>0</v>
      </c>
      <c r="E26" s="184">
        <v>0</v>
      </c>
      <c r="F26" s="184">
        <v>0</v>
      </c>
      <c r="G26" s="184">
        <f t="shared" si="0"/>
        <v>0</v>
      </c>
      <c r="H26" s="149" t="e">
        <f t="shared" si="1"/>
        <v>#DIV/0!</v>
      </c>
      <c r="I26" s="96"/>
    </row>
    <row r="27" spans="1:9" ht="20.100000000000001" customHeight="1">
      <c r="A27" s="8" t="s">
        <v>54</v>
      </c>
      <c r="B27" s="9">
        <v>1033</v>
      </c>
      <c r="C27" s="188">
        <v>0</v>
      </c>
      <c r="D27" s="184">
        <v>0</v>
      </c>
      <c r="E27" s="184">
        <v>0</v>
      </c>
      <c r="F27" s="184">
        <v>0</v>
      </c>
      <c r="G27" s="184">
        <f t="shared" si="0"/>
        <v>0</v>
      </c>
      <c r="H27" s="149" t="e">
        <f t="shared" si="1"/>
        <v>#DIV/0!</v>
      </c>
      <c r="I27" s="96"/>
    </row>
    <row r="28" spans="1:9" ht="20.100000000000001" customHeight="1">
      <c r="A28" s="8" t="s">
        <v>22</v>
      </c>
      <c r="B28" s="9">
        <v>1034</v>
      </c>
      <c r="C28" s="188">
        <v>0</v>
      </c>
      <c r="D28" s="184">
        <v>0</v>
      </c>
      <c r="E28" s="184">
        <v>0</v>
      </c>
      <c r="F28" s="184">
        <v>0</v>
      </c>
      <c r="G28" s="184">
        <f t="shared" si="0"/>
        <v>0</v>
      </c>
      <c r="H28" s="149" t="e">
        <f t="shared" si="1"/>
        <v>#DIV/0!</v>
      </c>
      <c r="I28" s="96"/>
    </row>
    <row r="29" spans="1:9" ht="20.100000000000001" customHeight="1">
      <c r="A29" s="8" t="s">
        <v>23</v>
      </c>
      <c r="B29" s="9">
        <v>1035</v>
      </c>
      <c r="C29" s="188">
        <v>0</v>
      </c>
      <c r="D29" s="184">
        <v>0</v>
      </c>
      <c r="E29" s="184">
        <v>0</v>
      </c>
      <c r="F29" s="184">
        <v>0</v>
      </c>
      <c r="G29" s="184">
        <f t="shared" si="0"/>
        <v>0</v>
      </c>
      <c r="H29" s="149" t="e">
        <f t="shared" si="1"/>
        <v>#DIV/0!</v>
      </c>
      <c r="I29" s="96"/>
    </row>
    <row r="30" spans="1:9" s="2" customFormat="1" ht="20.100000000000001" customHeight="1">
      <c r="A30" s="8" t="s">
        <v>33</v>
      </c>
      <c r="B30" s="9">
        <v>1036</v>
      </c>
      <c r="C30" s="188">
        <v>0</v>
      </c>
      <c r="D30" s="184">
        <v>0</v>
      </c>
      <c r="E30" s="184">
        <v>-2</v>
      </c>
      <c r="F30" s="184">
        <v>0</v>
      </c>
      <c r="G30" s="184">
        <f t="shared" si="0"/>
        <v>2</v>
      </c>
      <c r="H30" s="149">
        <f t="shared" si="1"/>
        <v>0</v>
      </c>
      <c r="I30" s="96"/>
    </row>
    <row r="31" spans="1:9" s="2" customFormat="1" ht="20.100000000000001" customHeight="1">
      <c r="A31" s="8" t="s">
        <v>34</v>
      </c>
      <c r="B31" s="9">
        <v>1037</v>
      </c>
      <c r="C31" s="188">
        <v>-0.3</v>
      </c>
      <c r="D31" s="184">
        <v>-0.2</v>
      </c>
      <c r="E31" s="184">
        <v>-0.2</v>
      </c>
      <c r="F31" s="184">
        <v>-0.1</v>
      </c>
      <c r="G31" s="184">
        <f t="shared" si="0"/>
        <v>0.1</v>
      </c>
      <c r="H31" s="149">
        <f t="shared" si="1"/>
        <v>50</v>
      </c>
      <c r="I31" s="96"/>
    </row>
    <row r="32" spans="1:9" s="2" customFormat="1" ht="20.100000000000001" customHeight="1">
      <c r="A32" s="8" t="s">
        <v>35</v>
      </c>
      <c r="B32" s="9">
        <v>1038</v>
      </c>
      <c r="C32" s="188">
        <v>-334.7</v>
      </c>
      <c r="D32" s="184">
        <f>-173.1-244.2</f>
        <v>-417.29999999999995</v>
      </c>
      <c r="E32" s="184">
        <v>-248.4</v>
      </c>
      <c r="F32" s="184">
        <v>-244.2</v>
      </c>
      <c r="G32" s="184">
        <f t="shared" si="0"/>
        <v>4.2000000000000171</v>
      </c>
      <c r="H32" s="149">
        <f t="shared" si="1"/>
        <v>98.30917874396134</v>
      </c>
      <c r="I32" s="96"/>
    </row>
    <row r="33" spans="1:9" s="2" customFormat="1" ht="20.100000000000001" customHeight="1">
      <c r="A33" s="8" t="s">
        <v>36</v>
      </c>
      <c r="B33" s="9">
        <v>1039</v>
      </c>
      <c r="C33" s="188">
        <v>-73.599999999999994</v>
      </c>
      <c r="D33" s="184">
        <f>-38.1-41.2</f>
        <v>-79.300000000000011</v>
      </c>
      <c r="E33" s="184">
        <v>-54.6</v>
      </c>
      <c r="F33" s="184">
        <v>-41.2</v>
      </c>
      <c r="G33" s="184">
        <f t="shared" si="0"/>
        <v>13.399999999999999</v>
      </c>
      <c r="H33" s="149">
        <f t="shared" si="1"/>
        <v>75.45787545787546</v>
      </c>
      <c r="I33" s="96"/>
    </row>
    <row r="34" spans="1:9" s="2" customFormat="1" ht="42.75" customHeight="1">
      <c r="A34" s="8" t="s">
        <v>37</v>
      </c>
      <c r="B34" s="9">
        <v>1040</v>
      </c>
      <c r="C34" s="188">
        <v>-5.2</v>
      </c>
      <c r="D34" s="184">
        <v>-3.6</v>
      </c>
      <c r="E34" s="184">
        <v>-5</v>
      </c>
      <c r="F34" s="184">
        <v>-1.8</v>
      </c>
      <c r="G34" s="184">
        <f t="shared" si="0"/>
        <v>3.2</v>
      </c>
      <c r="H34" s="149">
        <f t="shared" si="1"/>
        <v>36</v>
      </c>
      <c r="I34" s="96"/>
    </row>
    <row r="35" spans="1:9" s="2" customFormat="1" ht="42.75" customHeight="1">
      <c r="A35" s="8" t="s">
        <v>38</v>
      </c>
      <c r="B35" s="9">
        <v>1041</v>
      </c>
      <c r="C35" s="188">
        <v>0</v>
      </c>
      <c r="D35" s="184">
        <v>0</v>
      </c>
      <c r="E35" s="184">
        <v>0</v>
      </c>
      <c r="F35" s="184">
        <v>0</v>
      </c>
      <c r="G35" s="184">
        <f t="shared" si="0"/>
        <v>0</v>
      </c>
      <c r="H35" s="149" t="e">
        <f t="shared" si="1"/>
        <v>#DIV/0!</v>
      </c>
      <c r="I35" s="96"/>
    </row>
    <row r="36" spans="1:9" s="2" customFormat="1" ht="20.100000000000001" customHeight="1">
      <c r="A36" s="8" t="s">
        <v>39</v>
      </c>
      <c r="B36" s="9">
        <v>1042</v>
      </c>
      <c r="C36" s="188">
        <v>-0.5</v>
      </c>
      <c r="D36" s="184">
        <v>-0.3</v>
      </c>
      <c r="E36" s="184">
        <v>-3</v>
      </c>
      <c r="F36" s="184">
        <v>0</v>
      </c>
      <c r="G36" s="184">
        <f t="shared" si="0"/>
        <v>3</v>
      </c>
      <c r="H36" s="149">
        <f t="shared" si="1"/>
        <v>0</v>
      </c>
      <c r="I36" s="96"/>
    </row>
    <row r="37" spans="1:9" s="2" customFormat="1" ht="20.100000000000001" customHeight="1">
      <c r="A37" s="8" t="s">
        <v>40</v>
      </c>
      <c r="B37" s="9">
        <v>1043</v>
      </c>
      <c r="C37" s="188">
        <v>0</v>
      </c>
      <c r="D37" s="184">
        <v>0</v>
      </c>
      <c r="E37" s="184">
        <v>0</v>
      </c>
      <c r="F37" s="184">
        <v>0</v>
      </c>
      <c r="G37" s="184">
        <f t="shared" si="0"/>
        <v>0</v>
      </c>
      <c r="H37" s="149" t="e">
        <f t="shared" si="1"/>
        <v>#DIV/0!</v>
      </c>
      <c r="I37" s="96"/>
    </row>
    <row r="38" spans="1:9" s="2" customFormat="1" ht="20.100000000000001" customHeight="1">
      <c r="A38" s="8" t="s">
        <v>41</v>
      </c>
      <c r="B38" s="9">
        <v>1044</v>
      </c>
      <c r="C38" s="188">
        <v>0</v>
      </c>
      <c r="D38" s="184">
        <v>0</v>
      </c>
      <c r="E38" s="184">
        <v>0</v>
      </c>
      <c r="F38" s="184">
        <v>0</v>
      </c>
      <c r="G38" s="184">
        <f t="shared" si="0"/>
        <v>0</v>
      </c>
      <c r="H38" s="149" t="e">
        <f t="shared" si="1"/>
        <v>#DIV/0!</v>
      </c>
      <c r="I38" s="96"/>
    </row>
    <row r="39" spans="1:9" s="2" customFormat="1" ht="20.100000000000001" customHeight="1">
      <c r="A39" s="8" t="s">
        <v>56</v>
      </c>
      <c r="B39" s="9">
        <v>1045</v>
      </c>
      <c r="C39" s="188">
        <v>0</v>
      </c>
      <c r="D39" s="184">
        <v>0</v>
      </c>
      <c r="E39" s="184">
        <v>0</v>
      </c>
      <c r="F39" s="184">
        <v>0</v>
      </c>
      <c r="G39" s="184">
        <f t="shared" si="0"/>
        <v>0</v>
      </c>
      <c r="H39" s="149" t="e">
        <f t="shared" si="1"/>
        <v>#DIV/0!</v>
      </c>
      <c r="I39" s="96"/>
    </row>
    <row r="40" spans="1:9" s="2" customFormat="1" ht="20.100000000000001" customHeight="1">
      <c r="A40" s="8" t="s">
        <v>42</v>
      </c>
      <c r="B40" s="9">
        <v>1046</v>
      </c>
      <c r="C40" s="188">
        <v>0</v>
      </c>
      <c r="D40" s="184">
        <v>0</v>
      </c>
      <c r="E40" s="184">
        <v>0</v>
      </c>
      <c r="F40" s="184">
        <v>0</v>
      </c>
      <c r="G40" s="184">
        <f t="shared" si="0"/>
        <v>0</v>
      </c>
      <c r="H40" s="149" t="e">
        <f t="shared" si="1"/>
        <v>#DIV/0!</v>
      </c>
      <c r="I40" s="96"/>
    </row>
    <row r="41" spans="1:9" s="2" customFormat="1" ht="20.100000000000001" customHeight="1">
      <c r="A41" s="8" t="s">
        <v>43</v>
      </c>
      <c r="B41" s="9">
        <v>1047</v>
      </c>
      <c r="C41" s="188">
        <v>0</v>
      </c>
      <c r="D41" s="184">
        <v>0</v>
      </c>
      <c r="E41" s="184">
        <v>0</v>
      </c>
      <c r="F41" s="184">
        <v>0</v>
      </c>
      <c r="G41" s="184">
        <f t="shared" si="0"/>
        <v>0</v>
      </c>
      <c r="H41" s="149" t="e">
        <f t="shared" si="1"/>
        <v>#DIV/0!</v>
      </c>
      <c r="I41" s="96"/>
    </row>
    <row r="42" spans="1:9" s="2" customFormat="1" ht="20.100000000000001" customHeight="1">
      <c r="A42" s="8" t="s">
        <v>44</v>
      </c>
      <c r="B42" s="9">
        <v>1048</v>
      </c>
      <c r="C42" s="188">
        <v>-0.4</v>
      </c>
      <c r="D42" s="184">
        <v>0</v>
      </c>
      <c r="E42" s="184">
        <v>0</v>
      </c>
      <c r="F42" s="184">
        <v>0</v>
      </c>
      <c r="G42" s="184">
        <f t="shared" si="0"/>
        <v>0</v>
      </c>
      <c r="H42" s="149" t="e">
        <f t="shared" si="1"/>
        <v>#DIV/0!</v>
      </c>
      <c r="I42" s="96"/>
    </row>
    <row r="43" spans="1:9" s="2" customFormat="1" ht="20.100000000000001" customHeight="1">
      <c r="A43" s="8" t="s">
        <v>45</v>
      </c>
      <c r="B43" s="9">
        <v>1049</v>
      </c>
      <c r="C43" s="188">
        <v>0</v>
      </c>
      <c r="D43" s="184">
        <v>0</v>
      </c>
      <c r="E43" s="184">
        <v>0</v>
      </c>
      <c r="F43" s="184">
        <v>0</v>
      </c>
      <c r="G43" s="184">
        <f t="shared" si="0"/>
        <v>0</v>
      </c>
      <c r="H43" s="149" t="e">
        <f t="shared" si="1"/>
        <v>#DIV/0!</v>
      </c>
      <c r="I43" s="96"/>
    </row>
    <row r="44" spans="1:9" s="2" customFormat="1" ht="42.75" customHeight="1">
      <c r="A44" s="8" t="s">
        <v>66</v>
      </c>
      <c r="B44" s="9">
        <v>1050</v>
      </c>
      <c r="C44" s="184">
        <f>C45</f>
        <v>0</v>
      </c>
      <c r="D44" s="184">
        <f>D45</f>
        <v>0</v>
      </c>
      <c r="E44" s="184">
        <v>0</v>
      </c>
      <c r="F44" s="184">
        <f>F45</f>
        <v>0</v>
      </c>
      <c r="G44" s="184">
        <f t="shared" si="0"/>
        <v>0</v>
      </c>
      <c r="H44" s="149" t="e">
        <f t="shared" si="1"/>
        <v>#DIV/0!</v>
      </c>
      <c r="I44" s="96"/>
    </row>
    <row r="45" spans="1:9" s="2" customFormat="1" ht="20.100000000000001" customHeight="1">
      <c r="A45" s="8" t="s">
        <v>46</v>
      </c>
      <c r="B45" s="6" t="s">
        <v>299</v>
      </c>
      <c r="C45" s="188">
        <v>0</v>
      </c>
      <c r="D45" s="184">
        <v>0</v>
      </c>
      <c r="E45" s="184">
        <v>0</v>
      </c>
      <c r="F45" s="184">
        <v>0</v>
      </c>
      <c r="G45" s="184">
        <f t="shared" si="0"/>
        <v>0</v>
      </c>
      <c r="H45" s="149" t="e">
        <f t="shared" si="1"/>
        <v>#DIV/0!</v>
      </c>
      <c r="I45" s="96"/>
    </row>
    <row r="46" spans="1:9" s="2" customFormat="1" ht="20.100000000000001" customHeight="1">
      <c r="A46" s="8" t="s">
        <v>94</v>
      </c>
      <c r="B46" s="9">
        <v>1051</v>
      </c>
      <c r="C46" s="188">
        <f t="shared" ref="C46:H46" si="4">SUM(C47:C56)</f>
        <v>-8.6</v>
      </c>
      <c r="D46" s="184">
        <f t="shared" si="4"/>
        <v>-15.5</v>
      </c>
      <c r="E46" s="184">
        <f t="shared" si="4"/>
        <v>-7.05</v>
      </c>
      <c r="F46" s="184">
        <f t="shared" si="4"/>
        <v>-12.3</v>
      </c>
      <c r="G46" s="184">
        <f t="shared" si="4"/>
        <v>-5.2500000000000009</v>
      </c>
      <c r="H46" s="184" t="e">
        <f t="shared" si="4"/>
        <v>#DIV/0!</v>
      </c>
      <c r="I46" s="96"/>
    </row>
    <row r="47" spans="1:9" s="2" customFormat="1" ht="20.100000000000001" customHeight="1">
      <c r="A47" s="8" t="s">
        <v>469</v>
      </c>
      <c r="B47" s="9" t="s">
        <v>461</v>
      </c>
      <c r="C47" s="188">
        <v>-1</v>
      </c>
      <c r="D47" s="184">
        <v>-0.9</v>
      </c>
      <c r="E47" s="184">
        <v>-0.5</v>
      </c>
      <c r="F47" s="184">
        <v>-0.5</v>
      </c>
      <c r="G47" s="184">
        <f t="shared" ref="G47:G56" si="5">F47-E47</f>
        <v>0</v>
      </c>
      <c r="H47" s="149">
        <f t="shared" si="1"/>
        <v>100</v>
      </c>
      <c r="I47" s="96"/>
    </row>
    <row r="48" spans="1:9" s="2" customFormat="1" ht="20.100000000000001" customHeight="1">
      <c r="A48" s="8" t="s">
        <v>470</v>
      </c>
      <c r="B48" s="9" t="s">
        <v>462</v>
      </c>
      <c r="C48" s="188">
        <v>-1.5</v>
      </c>
      <c r="D48" s="184">
        <v>-0.1</v>
      </c>
      <c r="E48" s="184">
        <v>-1</v>
      </c>
      <c r="F48" s="184">
        <v>0</v>
      </c>
      <c r="G48" s="184">
        <f t="shared" si="5"/>
        <v>1</v>
      </c>
      <c r="H48" s="149">
        <f t="shared" si="1"/>
        <v>0</v>
      </c>
      <c r="I48" s="96"/>
    </row>
    <row r="49" spans="1:9" s="2" customFormat="1" ht="20.100000000000001" customHeight="1">
      <c r="A49" s="8" t="s">
        <v>471</v>
      </c>
      <c r="B49" s="9" t="s">
        <v>463</v>
      </c>
      <c r="C49" s="188">
        <v>-1.2</v>
      </c>
      <c r="D49" s="184">
        <v>-0.7</v>
      </c>
      <c r="E49" s="184">
        <v>-0.5</v>
      </c>
      <c r="F49" s="184">
        <v>-0.5</v>
      </c>
      <c r="G49" s="184">
        <f t="shared" si="5"/>
        <v>0</v>
      </c>
      <c r="H49" s="149">
        <f t="shared" si="1"/>
        <v>100</v>
      </c>
      <c r="I49" s="96"/>
    </row>
    <row r="50" spans="1:9" s="2" customFormat="1" ht="20.100000000000001" customHeight="1">
      <c r="A50" s="8" t="s">
        <v>503</v>
      </c>
      <c r="B50" s="9" t="s">
        <v>464</v>
      </c>
      <c r="C50" s="188">
        <v>-2.8</v>
      </c>
      <c r="D50" s="258">
        <v>-1.7</v>
      </c>
      <c r="E50" s="184">
        <v>-3.55</v>
      </c>
      <c r="F50" s="184">
        <v>-0.2</v>
      </c>
      <c r="G50" s="184">
        <f t="shared" si="5"/>
        <v>3.3499999999999996</v>
      </c>
      <c r="H50" s="149">
        <f t="shared" si="1"/>
        <v>5.6338028169014089</v>
      </c>
      <c r="I50" s="96"/>
    </row>
    <row r="51" spans="1:9" s="2" customFormat="1" ht="20.100000000000001" customHeight="1">
      <c r="A51" s="8" t="s">
        <v>504</v>
      </c>
      <c r="B51" s="9" t="s">
        <v>465</v>
      </c>
      <c r="C51" s="188">
        <v>-0.2</v>
      </c>
      <c r="D51" s="258">
        <v>0</v>
      </c>
      <c r="E51" s="184">
        <v>0</v>
      </c>
      <c r="F51" s="184">
        <v>0</v>
      </c>
      <c r="G51" s="184">
        <f t="shared" si="5"/>
        <v>0</v>
      </c>
      <c r="H51" s="149" t="e">
        <f t="shared" si="1"/>
        <v>#DIV/0!</v>
      </c>
      <c r="I51" s="96"/>
    </row>
    <row r="52" spans="1:9" s="2" customFormat="1" ht="20.100000000000001" customHeight="1">
      <c r="A52" s="8" t="s">
        <v>505</v>
      </c>
      <c r="B52" s="9" t="s">
        <v>466</v>
      </c>
      <c r="C52" s="188">
        <v>-1.7</v>
      </c>
      <c r="D52" s="184">
        <v>-1.9</v>
      </c>
      <c r="E52" s="184">
        <v>-1.2</v>
      </c>
      <c r="F52" s="184">
        <v>-1.1000000000000001</v>
      </c>
      <c r="G52" s="184">
        <f t="shared" si="5"/>
        <v>9.9999999999999867E-2</v>
      </c>
      <c r="H52" s="149">
        <f t="shared" si="1"/>
        <v>91.666666666666671</v>
      </c>
      <c r="I52" s="96"/>
    </row>
    <row r="53" spans="1:9" s="2" customFormat="1" ht="20.100000000000001" customHeight="1">
      <c r="A53" s="8" t="s">
        <v>460</v>
      </c>
      <c r="B53" s="9" t="s">
        <v>467</v>
      </c>
      <c r="C53" s="188">
        <v>-0.2</v>
      </c>
      <c r="D53" s="184">
        <v>-0.4</v>
      </c>
      <c r="E53" s="184">
        <v>-0.3</v>
      </c>
      <c r="F53" s="184">
        <v>-0.2</v>
      </c>
      <c r="G53" s="188">
        <f t="shared" si="5"/>
        <v>9.9999999999999978E-2</v>
      </c>
      <c r="H53" s="149">
        <f t="shared" si="1"/>
        <v>66.666666666666671</v>
      </c>
      <c r="I53" s="96"/>
    </row>
    <row r="54" spans="1:9" s="2" customFormat="1" ht="20.100000000000001" customHeight="1">
      <c r="A54" s="8" t="s">
        <v>550</v>
      </c>
      <c r="B54" s="9" t="s">
        <v>468</v>
      </c>
      <c r="C54" s="188">
        <v>0</v>
      </c>
      <c r="D54" s="258">
        <v>-6.8</v>
      </c>
      <c r="E54" s="184">
        <v>0</v>
      </c>
      <c r="F54" s="184">
        <v>-6.8</v>
      </c>
      <c r="G54" s="188">
        <f t="shared" si="5"/>
        <v>-6.8</v>
      </c>
      <c r="H54" s="149" t="e">
        <f t="shared" si="1"/>
        <v>#DIV/0!</v>
      </c>
      <c r="I54" s="96"/>
    </row>
    <row r="55" spans="1:9" s="2" customFormat="1" ht="20.100000000000001" customHeight="1">
      <c r="A55" s="8" t="s">
        <v>551</v>
      </c>
      <c r="B55" s="9" t="s">
        <v>472</v>
      </c>
      <c r="C55" s="188">
        <v>0</v>
      </c>
      <c r="D55" s="258">
        <v>-3</v>
      </c>
      <c r="E55" s="184">
        <v>0</v>
      </c>
      <c r="F55" s="184">
        <v>-3</v>
      </c>
      <c r="G55" s="188">
        <f t="shared" si="5"/>
        <v>-3</v>
      </c>
      <c r="H55" s="149" t="e">
        <f t="shared" si="1"/>
        <v>#DIV/0!</v>
      </c>
      <c r="I55" s="96"/>
    </row>
    <row r="56" spans="1:9" s="2" customFormat="1" ht="20.100000000000001" customHeight="1">
      <c r="A56" s="8" t="s">
        <v>549</v>
      </c>
      <c r="B56" s="9" t="s">
        <v>473</v>
      </c>
      <c r="C56" s="188">
        <v>0</v>
      </c>
      <c r="D56" s="258">
        <v>0</v>
      </c>
      <c r="E56" s="184">
        <v>0</v>
      </c>
      <c r="F56" s="184">
        <v>0</v>
      </c>
      <c r="G56" s="188">
        <f t="shared" si="5"/>
        <v>0</v>
      </c>
      <c r="H56" s="149" t="e">
        <f t="shared" si="1"/>
        <v>#DIV/0!</v>
      </c>
      <c r="I56" s="96"/>
    </row>
    <row r="57" spans="1:9" ht="20.100000000000001" customHeight="1">
      <c r="A57" s="8" t="s">
        <v>151</v>
      </c>
      <c r="B57" s="9">
        <v>1060</v>
      </c>
      <c r="C57" s="230">
        <f>SUM(C58:C64)</f>
        <v>-9.1</v>
      </c>
      <c r="D57" s="184">
        <f>SUM(D58:D64)</f>
        <v>-9.8000000000000007</v>
      </c>
      <c r="E57" s="184">
        <f>SUM(E58:E64)</f>
        <v>0</v>
      </c>
      <c r="F57" s="184">
        <f>SUM(F58:F64)</f>
        <v>0</v>
      </c>
      <c r="G57" s="188">
        <f t="shared" si="0"/>
        <v>0</v>
      </c>
      <c r="H57" s="149" t="e">
        <f t="shared" si="1"/>
        <v>#DIV/0!</v>
      </c>
      <c r="I57" s="96"/>
    </row>
    <row r="58" spans="1:9" s="2" customFormat="1" ht="20.100000000000001" customHeight="1">
      <c r="A58" s="8" t="s">
        <v>127</v>
      </c>
      <c r="B58" s="9">
        <v>1061</v>
      </c>
      <c r="C58" s="188">
        <v>0</v>
      </c>
      <c r="D58" s="184">
        <v>0</v>
      </c>
      <c r="E58" s="184">
        <v>0</v>
      </c>
      <c r="F58" s="184">
        <v>0</v>
      </c>
      <c r="G58" s="188">
        <f t="shared" si="0"/>
        <v>0</v>
      </c>
      <c r="H58" s="149" t="e">
        <f t="shared" si="1"/>
        <v>#DIV/0!</v>
      </c>
      <c r="I58" s="96"/>
    </row>
    <row r="59" spans="1:9" s="2" customFormat="1" ht="20.100000000000001" customHeight="1">
      <c r="A59" s="8" t="s">
        <v>128</v>
      </c>
      <c r="B59" s="9">
        <v>1062</v>
      </c>
      <c r="C59" s="188">
        <v>0</v>
      </c>
      <c r="D59" s="184">
        <v>0</v>
      </c>
      <c r="E59" s="184">
        <v>0</v>
      </c>
      <c r="F59" s="184">
        <v>0</v>
      </c>
      <c r="G59" s="188">
        <f t="shared" si="0"/>
        <v>0</v>
      </c>
      <c r="H59" s="149" t="e">
        <f t="shared" si="1"/>
        <v>#DIV/0!</v>
      </c>
      <c r="I59" s="96"/>
    </row>
    <row r="60" spans="1:9" s="2" customFormat="1" ht="20.100000000000001" customHeight="1">
      <c r="A60" s="8" t="s">
        <v>35</v>
      </c>
      <c r="B60" s="9">
        <v>1063</v>
      </c>
      <c r="C60" s="188">
        <v>0</v>
      </c>
      <c r="D60" s="184">
        <v>0</v>
      </c>
      <c r="E60" s="184">
        <v>0</v>
      </c>
      <c r="F60" s="184">
        <v>0</v>
      </c>
      <c r="G60" s="188">
        <f t="shared" si="0"/>
        <v>0</v>
      </c>
      <c r="H60" s="149" t="e">
        <f t="shared" si="1"/>
        <v>#DIV/0!</v>
      </c>
      <c r="I60" s="96"/>
    </row>
    <row r="61" spans="1:9" s="2" customFormat="1" ht="20.100000000000001" customHeight="1">
      <c r="A61" s="8" t="s">
        <v>36</v>
      </c>
      <c r="B61" s="9">
        <v>1064</v>
      </c>
      <c r="C61" s="188">
        <v>0</v>
      </c>
      <c r="D61" s="184">
        <v>0</v>
      </c>
      <c r="E61" s="184">
        <v>0</v>
      </c>
      <c r="F61" s="184">
        <v>0</v>
      </c>
      <c r="G61" s="188">
        <f t="shared" si="0"/>
        <v>0</v>
      </c>
      <c r="H61" s="149" t="e">
        <f t="shared" si="1"/>
        <v>#DIV/0!</v>
      </c>
    </row>
    <row r="62" spans="1:9" s="2" customFormat="1" ht="20.100000000000001" customHeight="1">
      <c r="A62" s="8" t="s">
        <v>55</v>
      </c>
      <c r="B62" s="9">
        <v>1065</v>
      </c>
      <c r="C62" s="188">
        <v>0</v>
      </c>
      <c r="D62" s="184">
        <v>0</v>
      </c>
      <c r="E62" s="184">
        <v>0</v>
      </c>
      <c r="F62" s="184">
        <v>0</v>
      </c>
      <c r="G62" s="188">
        <f t="shared" si="0"/>
        <v>0</v>
      </c>
      <c r="H62" s="149" t="e">
        <f t="shared" si="1"/>
        <v>#DIV/0!</v>
      </c>
      <c r="I62" s="96"/>
    </row>
    <row r="63" spans="1:9" s="2" customFormat="1" ht="20.100000000000001" customHeight="1">
      <c r="A63" s="8" t="s">
        <v>69</v>
      </c>
      <c r="B63" s="9">
        <v>1066</v>
      </c>
      <c r="C63" s="188">
        <v>-2.2999999999999998</v>
      </c>
      <c r="D63" s="184">
        <v>-4.5999999999999996</v>
      </c>
      <c r="E63" s="184">
        <v>0</v>
      </c>
      <c r="F63" s="184">
        <v>0</v>
      </c>
      <c r="G63" s="188">
        <f t="shared" si="0"/>
        <v>0</v>
      </c>
      <c r="H63" s="149" t="e">
        <f t="shared" si="1"/>
        <v>#DIV/0!</v>
      </c>
      <c r="I63" s="96"/>
    </row>
    <row r="64" spans="1:9" s="2" customFormat="1" ht="20.100000000000001" customHeight="1">
      <c r="A64" s="8" t="s">
        <v>102</v>
      </c>
      <c r="B64" s="9">
        <v>1067</v>
      </c>
      <c r="C64" s="188">
        <f>SUM(C65:C68)</f>
        <v>-6.8</v>
      </c>
      <c r="D64" s="184">
        <f>SUM(D65:D68)</f>
        <v>-5.2</v>
      </c>
      <c r="E64" s="184">
        <f>SUM(E65:E68)</f>
        <v>0</v>
      </c>
      <c r="F64" s="184">
        <f>SUM(F65:F68)</f>
        <v>0</v>
      </c>
      <c r="G64" s="188">
        <f t="shared" si="0"/>
        <v>0</v>
      </c>
      <c r="H64" s="149" t="e">
        <f t="shared" si="1"/>
        <v>#DIV/0!</v>
      </c>
      <c r="I64" s="96"/>
    </row>
    <row r="65" spans="1:9" s="2" customFormat="1" ht="20.100000000000001" customHeight="1">
      <c r="A65" s="8" t="s">
        <v>510</v>
      </c>
      <c r="B65" s="9" t="s">
        <v>506</v>
      </c>
      <c r="C65" s="188">
        <v>-4</v>
      </c>
      <c r="D65" s="184">
        <v>0</v>
      </c>
      <c r="E65" s="184">
        <v>0</v>
      </c>
      <c r="F65" s="184">
        <v>0</v>
      </c>
      <c r="G65" s="188">
        <f t="shared" si="0"/>
        <v>0</v>
      </c>
      <c r="H65" s="149" t="e">
        <f t="shared" si="1"/>
        <v>#DIV/0!</v>
      </c>
      <c r="I65" s="96"/>
    </row>
    <row r="66" spans="1:9" s="2" customFormat="1" ht="20.100000000000001" customHeight="1">
      <c r="A66" s="8" t="s">
        <v>534</v>
      </c>
      <c r="B66" s="9" t="s">
        <v>507</v>
      </c>
      <c r="C66" s="188">
        <v>-2.1</v>
      </c>
      <c r="D66" s="184">
        <f>-5.2</f>
        <v>-5.2</v>
      </c>
      <c r="E66" s="184">
        <v>0</v>
      </c>
      <c r="F66" s="184">
        <v>0</v>
      </c>
      <c r="G66" s="188">
        <f t="shared" si="0"/>
        <v>0</v>
      </c>
      <c r="H66" s="149" t="e">
        <f t="shared" si="1"/>
        <v>#DIV/0!</v>
      </c>
      <c r="I66" s="96"/>
    </row>
    <row r="67" spans="1:9" s="2" customFormat="1" ht="20.100000000000001" customHeight="1">
      <c r="A67" s="8" t="s">
        <v>511</v>
      </c>
      <c r="B67" s="9" t="s">
        <v>508</v>
      </c>
      <c r="C67" s="188">
        <v>-0.7</v>
      </c>
      <c r="D67" s="184">
        <v>0</v>
      </c>
      <c r="E67" s="184">
        <v>0</v>
      </c>
      <c r="F67" s="184">
        <v>0</v>
      </c>
      <c r="G67" s="188">
        <f t="shared" si="0"/>
        <v>0</v>
      </c>
      <c r="H67" s="149" t="e">
        <f t="shared" si="1"/>
        <v>#DIV/0!</v>
      </c>
      <c r="I67" s="96"/>
    </row>
    <row r="68" spans="1:9" s="2" customFormat="1" ht="20.100000000000001" hidden="1" customHeight="1">
      <c r="A68" s="8"/>
      <c r="B68" s="9" t="s">
        <v>509</v>
      </c>
      <c r="C68" s="188">
        <v>0</v>
      </c>
      <c r="D68" s="184">
        <v>0</v>
      </c>
      <c r="E68" s="184">
        <v>0</v>
      </c>
      <c r="F68" s="184">
        <v>0</v>
      </c>
      <c r="G68" s="188">
        <f t="shared" si="0"/>
        <v>0</v>
      </c>
      <c r="H68" s="149" t="e">
        <f t="shared" si="1"/>
        <v>#DIV/0!</v>
      </c>
      <c r="I68" s="96"/>
    </row>
    <row r="69" spans="1:9" s="2" customFormat="1" ht="20.100000000000001" customHeight="1">
      <c r="A69" s="8" t="s">
        <v>243</v>
      </c>
      <c r="B69" s="9">
        <v>1070</v>
      </c>
      <c r="C69" s="230">
        <f>SUM(C70:C72)</f>
        <v>1933.2</v>
      </c>
      <c r="D69" s="184">
        <f>SUM(D70:D72)</f>
        <v>2237.9999999999995</v>
      </c>
      <c r="E69" s="184">
        <f>SUM(E70:E72)</f>
        <v>1508</v>
      </c>
      <c r="F69" s="184">
        <f>SUM(F70:F72)</f>
        <v>1337</v>
      </c>
      <c r="G69" s="188">
        <f t="shared" si="0"/>
        <v>-171</v>
      </c>
      <c r="H69" s="149">
        <f t="shared" si="1"/>
        <v>88.660477453580896</v>
      </c>
      <c r="I69" s="96"/>
    </row>
    <row r="70" spans="1:9" s="2" customFormat="1" ht="20.100000000000001" customHeight="1">
      <c r="A70" s="8" t="s">
        <v>147</v>
      </c>
      <c r="B70" s="9">
        <v>1071</v>
      </c>
      <c r="C70" s="188">
        <v>0</v>
      </c>
      <c r="D70" s="184">
        <v>0</v>
      </c>
      <c r="E70" s="184">
        <v>0</v>
      </c>
      <c r="F70" s="184">
        <v>0</v>
      </c>
      <c r="G70" s="188">
        <f t="shared" si="0"/>
        <v>0</v>
      </c>
      <c r="H70" s="149" t="e">
        <f t="shared" si="1"/>
        <v>#DIV/0!</v>
      </c>
      <c r="I70" s="96"/>
    </row>
    <row r="71" spans="1:9" s="2" customFormat="1" ht="20.100000000000001" customHeight="1">
      <c r="A71" s="8" t="s">
        <v>267</v>
      </c>
      <c r="B71" s="9">
        <v>1072</v>
      </c>
      <c r="C71" s="188">
        <v>0</v>
      </c>
      <c r="D71" s="184">
        <v>0</v>
      </c>
      <c r="E71" s="184">
        <v>0</v>
      </c>
      <c r="F71" s="184">
        <v>0</v>
      </c>
      <c r="G71" s="188">
        <f t="shared" si="0"/>
        <v>0</v>
      </c>
      <c r="H71" s="149" t="e">
        <f t="shared" si="1"/>
        <v>#DIV/0!</v>
      </c>
      <c r="I71" s="96"/>
    </row>
    <row r="72" spans="1:9" s="2" customFormat="1" ht="20.100000000000001" customHeight="1">
      <c r="A72" s="8" t="s">
        <v>244</v>
      </c>
      <c r="B72" s="9">
        <v>1073</v>
      </c>
      <c r="C72" s="188">
        <f>SUM(C73:C77)</f>
        <v>1933.2</v>
      </c>
      <c r="D72" s="184">
        <f>SUM(D73:D77)</f>
        <v>2237.9999999999995</v>
      </c>
      <c r="E72" s="184">
        <f>SUM(E73:E77)</f>
        <v>1508</v>
      </c>
      <c r="F72" s="184">
        <f>SUM(F73:F77)</f>
        <v>1337</v>
      </c>
      <c r="G72" s="188">
        <f t="shared" si="0"/>
        <v>-171</v>
      </c>
      <c r="H72" s="149">
        <f t="shared" si="1"/>
        <v>88.660477453580896</v>
      </c>
      <c r="I72" s="96"/>
    </row>
    <row r="73" spans="1:9" s="2" customFormat="1" ht="20.100000000000001" customHeight="1">
      <c r="A73" s="8" t="s">
        <v>479</v>
      </c>
      <c r="B73" s="9" t="s">
        <v>474</v>
      </c>
      <c r="C73" s="188">
        <v>1916.5</v>
      </c>
      <c r="D73" s="184">
        <f>892.9+1320.7</f>
        <v>2213.6</v>
      </c>
      <c r="E73" s="184">
        <v>1500</v>
      </c>
      <c r="F73" s="184">
        <v>1320.7</v>
      </c>
      <c r="G73" s="188">
        <f t="shared" si="0"/>
        <v>-179.29999999999995</v>
      </c>
      <c r="H73" s="149">
        <f t="shared" si="1"/>
        <v>88.046666666666667</v>
      </c>
      <c r="I73" s="96"/>
    </row>
    <row r="74" spans="1:9" s="2" customFormat="1" ht="20.100000000000001" customHeight="1">
      <c r="A74" s="8" t="s">
        <v>526</v>
      </c>
      <c r="B74" s="9" t="s">
        <v>475</v>
      </c>
      <c r="C74" s="188">
        <v>0</v>
      </c>
      <c r="D74" s="184">
        <v>0</v>
      </c>
      <c r="E74" s="184">
        <v>0</v>
      </c>
      <c r="F74" s="184">
        <v>0</v>
      </c>
      <c r="G74" s="184">
        <f t="shared" si="0"/>
        <v>0</v>
      </c>
      <c r="H74" s="149" t="e">
        <f t="shared" si="1"/>
        <v>#DIV/0!</v>
      </c>
      <c r="I74" s="96"/>
    </row>
    <row r="75" spans="1:9" s="2" customFormat="1" ht="20.100000000000001" customHeight="1">
      <c r="A75" s="8" t="s">
        <v>548</v>
      </c>
      <c r="B75" s="9" t="s">
        <v>476</v>
      </c>
      <c r="C75" s="188">
        <v>0</v>
      </c>
      <c r="D75" s="184">
        <v>0</v>
      </c>
      <c r="E75" s="184">
        <v>0</v>
      </c>
      <c r="F75" s="184">
        <v>0</v>
      </c>
      <c r="G75" s="184">
        <f t="shared" si="0"/>
        <v>0</v>
      </c>
      <c r="H75" s="149" t="e">
        <f t="shared" si="1"/>
        <v>#DIV/0!</v>
      </c>
      <c r="I75" s="96"/>
    </row>
    <row r="76" spans="1:9" s="2" customFormat="1" ht="35.25" customHeight="1">
      <c r="A76" s="8" t="s">
        <v>543</v>
      </c>
      <c r="B76" s="9" t="s">
        <v>477</v>
      </c>
      <c r="C76" s="188">
        <v>16.7</v>
      </c>
      <c r="D76" s="184">
        <f>8.1+8.1</f>
        <v>16.2</v>
      </c>
      <c r="E76" s="184">
        <v>8</v>
      </c>
      <c r="F76" s="184">
        <v>8.1</v>
      </c>
      <c r="G76" s="188">
        <f t="shared" si="0"/>
        <v>9.9999999999999645E-2</v>
      </c>
      <c r="H76" s="149">
        <f t="shared" si="1"/>
        <v>101.25</v>
      </c>
      <c r="I76" s="96"/>
    </row>
    <row r="77" spans="1:9" s="2" customFormat="1" ht="20.100000000000001" customHeight="1">
      <c r="A77" s="8" t="s">
        <v>542</v>
      </c>
      <c r="B77" s="9" t="s">
        <v>478</v>
      </c>
      <c r="C77" s="188">
        <v>0</v>
      </c>
      <c r="D77" s="184">
        <v>8.1999999999999993</v>
      </c>
      <c r="E77" s="184">
        <v>0</v>
      </c>
      <c r="F77" s="184">
        <v>8.1999999999999993</v>
      </c>
      <c r="G77" s="188">
        <f t="shared" si="0"/>
        <v>8.1999999999999993</v>
      </c>
      <c r="H77" s="149" t="e">
        <f t="shared" si="1"/>
        <v>#DIV/0!</v>
      </c>
      <c r="I77" s="96"/>
    </row>
    <row r="78" spans="1:9" s="2" customFormat="1" ht="20.100000000000001" customHeight="1">
      <c r="A78" s="92" t="s">
        <v>70</v>
      </c>
      <c r="B78" s="9">
        <v>1080</v>
      </c>
      <c r="C78" s="230">
        <f>SUM(C79:C84)</f>
        <v>0</v>
      </c>
      <c r="D78" s="184">
        <f>SUM(D79:D84)</f>
        <v>0</v>
      </c>
      <c r="E78" s="184">
        <f>SUM(E79:E84)</f>
        <v>0</v>
      </c>
      <c r="F78" s="184">
        <f>SUM(F79:F84)</f>
        <v>0</v>
      </c>
      <c r="G78" s="188">
        <f t="shared" si="0"/>
        <v>0</v>
      </c>
      <c r="H78" s="149" t="e">
        <f t="shared" si="1"/>
        <v>#DIV/0!</v>
      </c>
      <c r="I78" s="96"/>
    </row>
    <row r="79" spans="1:9" s="2" customFormat="1" ht="20.100000000000001" customHeight="1">
      <c r="A79" s="8" t="s">
        <v>147</v>
      </c>
      <c r="B79" s="9">
        <v>1081</v>
      </c>
      <c r="C79" s="188">
        <v>0</v>
      </c>
      <c r="D79" s="184">
        <v>0</v>
      </c>
      <c r="E79" s="184">
        <v>0</v>
      </c>
      <c r="F79" s="184">
        <v>0</v>
      </c>
      <c r="G79" s="188">
        <f t="shared" si="0"/>
        <v>0</v>
      </c>
      <c r="H79" s="149" t="e">
        <f t="shared" si="1"/>
        <v>#DIV/0!</v>
      </c>
      <c r="I79" s="96"/>
    </row>
    <row r="80" spans="1:9" s="2" customFormat="1" ht="20.100000000000001" customHeight="1">
      <c r="A80" s="8" t="s">
        <v>351</v>
      </c>
      <c r="B80" s="9">
        <v>1082</v>
      </c>
      <c r="C80" s="188">
        <v>0</v>
      </c>
      <c r="D80" s="184">
        <v>0</v>
      </c>
      <c r="E80" s="184">
        <v>0</v>
      </c>
      <c r="F80" s="184">
        <v>0</v>
      </c>
      <c r="G80" s="188">
        <f t="shared" si="0"/>
        <v>0</v>
      </c>
      <c r="H80" s="149" t="e">
        <f t="shared" si="1"/>
        <v>#DIV/0!</v>
      </c>
      <c r="I80" s="96"/>
    </row>
    <row r="81" spans="1:9" s="2" customFormat="1" ht="20.100000000000001" customHeight="1">
      <c r="A81" s="8" t="s">
        <v>62</v>
      </c>
      <c r="B81" s="9">
        <v>1083</v>
      </c>
      <c r="C81" s="188">
        <v>0</v>
      </c>
      <c r="D81" s="184">
        <v>0</v>
      </c>
      <c r="E81" s="184">
        <v>0</v>
      </c>
      <c r="F81" s="184">
        <v>0</v>
      </c>
      <c r="G81" s="188">
        <f t="shared" si="0"/>
        <v>0</v>
      </c>
      <c r="H81" s="149" t="e">
        <f t="shared" si="1"/>
        <v>#DIV/0!</v>
      </c>
      <c r="I81" s="96"/>
    </row>
    <row r="82" spans="1:9" s="2" customFormat="1" ht="20.100000000000001" customHeight="1">
      <c r="A82" s="8" t="s">
        <v>47</v>
      </c>
      <c r="B82" s="9">
        <v>1084</v>
      </c>
      <c r="C82" s="188">
        <v>0</v>
      </c>
      <c r="D82" s="184">
        <v>0</v>
      </c>
      <c r="E82" s="184">
        <v>0</v>
      </c>
      <c r="F82" s="184">
        <v>0</v>
      </c>
      <c r="G82" s="188">
        <f t="shared" si="0"/>
        <v>0</v>
      </c>
      <c r="H82" s="149" t="e">
        <f t="shared" si="1"/>
        <v>#DIV/0!</v>
      </c>
      <c r="I82" s="96"/>
    </row>
    <row r="83" spans="1:9" s="2" customFormat="1" ht="20.100000000000001" customHeight="1">
      <c r="A83" s="8" t="s">
        <v>53</v>
      </c>
      <c r="B83" s="9">
        <v>1085</v>
      </c>
      <c r="C83" s="188">
        <v>0</v>
      </c>
      <c r="D83" s="184">
        <v>0</v>
      </c>
      <c r="E83" s="184">
        <v>0</v>
      </c>
      <c r="F83" s="184">
        <v>0</v>
      </c>
      <c r="G83" s="188">
        <f t="shared" si="0"/>
        <v>0</v>
      </c>
      <c r="H83" s="149" t="e">
        <f t="shared" si="1"/>
        <v>#DIV/0!</v>
      </c>
      <c r="I83" s="96"/>
    </row>
    <row r="84" spans="1:9" s="2" customFormat="1" ht="20.100000000000001" customHeight="1">
      <c r="A84" s="8" t="s">
        <v>174</v>
      </c>
      <c r="B84" s="9">
        <v>1086</v>
      </c>
      <c r="C84" s="188">
        <f>SUM(C85:C85)</f>
        <v>0</v>
      </c>
      <c r="D84" s="184">
        <f>SUM(D85:D85)</f>
        <v>0</v>
      </c>
      <c r="E84" s="184">
        <f>SUM(E85:E85)</f>
        <v>0</v>
      </c>
      <c r="F84" s="184">
        <f>SUM(F85:F85)</f>
        <v>0</v>
      </c>
      <c r="G84" s="188">
        <f t="shared" si="0"/>
        <v>0</v>
      </c>
      <c r="H84" s="149" t="e">
        <f t="shared" si="1"/>
        <v>#DIV/0!</v>
      </c>
      <c r="I84" s="96"/>
    </row>
    <row r="85" spans="1:9" s="2" customFormat="1" ht="20.100000000000001" hidden="1" customHeight="1">
      <c r="A85" s="8" t="s">
        <v>536</v>
      </c>
      <c r="B85" s="9" t="s">
        <v>518</v>
      </c>
      <c r="C85" s="188"/>
      <c r="D85" s="184"/>
      <c r="E85" s="184"/>
      <c r="F85" s="184"/>
      <c r="G85" s="188">
        <f>F85-E85</f>
        <v>0</v>
      </c>
      <c r="H85" s="149"/>
      <c r="I85" s="96"/>
    </row>
    <row r="86" spans="1:9" s="5" customFormat="1" ht="19.5" customHeight="1">
      <c r="A86" s="10" t="s">
        <v>4</v>
      </c>
      <c r="B86" s="11">
        <v>1100</v>
      </c>
      <c r="C86" s="212">
        <f>SUM(C23,C24,C57,C69,C78)</f>
        <v>13.600000000000364</v>
      </c>
      <c r="D86" s="210">
        <f>SUM(D23,D24,D57,D69,D78)</f>
        <v>48.299999999999727</v>
      </c>
      <c r="E86" s="210">
        <f>SUM(E23,E24,E57,E69,E78)</f>
        <v>7.3499999999999091</v>
      </c>
      <c r="F86" s="210">
        <f>SUM(F23,F24,F57,F69,F78)</f>
        <v>-6.5</v>
      </c>
      <c r="G86" s="232">
        <f t="shared" si="0"/>
        <v>-13.849999999999909</v>
      </c>
      <c r="H86" s="150">
        <f t="shared" si="1"/>
        <v>-88.435374149660959</v>
      </c>
      <c r="I86" s="97"/>
    </row>
    <row r="87" spans="1:9" ht="20.100000000000001" customHeight="1">
      <c r="A87" s="8" t="s">
        <v>93</v>
      </c>
      <c r="B87" s="9">
        <v>1110</v>
      </c>
      <c r="C87" s="188">
        <v>0</v>
      </c>
      <c r="D87" s="184">
        <v>0</v>
      </c>
      <c r="E87" s="184">
        <v>0</v>
      </c>
      <c r="F87" s="184">
        <v>0</v>
      </c>
      <c r="G87" s="188">
        <f t="shared" si="0"/>
        <v>0</v>
      </c>
      <c r="H87" s="149" t="e">
        <f t="shared" si="1"/>
        <v>#DIV/0!</v>
      </c>
      <c r="I87" s="96"/>
    </row>
    <row r="88" spans="1:9" ht="20.100000000000001" customHeight="1">
      <c r="A88" s="8" t="s">
        <v>95</v>
      </c>
      <c r="B88" s="9">
        <v>1120</v>
      </c>
      <c r="C88" s="188">
        <v>0</v>
      </c>
      <c r="D88" s="184">
        <v>0</v>
      </c>
      <c r="E88" s="184">
        <v>0</v>
      </c>
      <c r="F88" s="184">
        <v>0</v>
      </c>
      <c r="G88" s="188">
        <f t="shared" si="0"/>
        <v>0</v>
      </c>
      <c r="H88" s="149" t="e">
        <f t="shared" si="1"/>
        <v>#DIV/0!</v>
      </c>
      <c r="I88" s="96"/>
    </row>
    <row r="89" spans="1:9" ht="20.100000000000001" customHeight="1">
      <c r="A89" s="8" t="s">
        <v>552</v>
      </c>
      <c r="B89" s="9">
        <v>1130</v>
      </c>
      <c r="C89" s="188">
        <v>139.6</v>
      </c>
      <c r="D89" s="184">
        <v>12.2</v>
      </c>
      <c r="E89" s="184">
        <v>100</v>
      </c>
      <c r="F89" s="184">
        <v>12.2</v>
      </c>
      <c r="G89" s="184">
        <f t="shared" si="0"/>
        <v>-87.8</v>
      </c>
      <c r="H89" s="149">
        <f t="shared" si="1"/>
        <v>12.2</v>
      </c>
      <c r="I89" s="96"/>
    </row>
    <row r="90" spans="1:9" ht="20.100000000000001" customHeight="1">
      <c r="A90" s="8" t="s">
        <v>527</v>
      </c>
      <c r="B90" s="9">
        <v>1140</v>
      </c>
      <c r="C90" s="188">
        <v>-139.6</v>
      </c>
      <c r="D90" s="184">
        <v>-12.2</v>
      </c>
      <c r="E90" s="184">
        <v>-100</v>
      </c>
      <c r="F90" s="184">
        <v>-12.2</v>
      </c>
      <c r="G90" s="184">
        <f t="shared" si="0"/>
        <v>87.8</v>
      </c>
      <c r="H90" s="149">
        <f t="shared" si="1"/>
        <v>12.2</v>
      </c>
      <c r="I90" s="96"/>
    </row>
    <row r="91" spans="1:9" ht="20.100000000000001" customHeight="1">
      <c r="A91" s="8" t="s">
        <v>245</v>
      </c>
      <c r="B91" s="9">
        <v>1150</v>
      </c>
      <c r="C91" s="230">
        <f>SUM(C92:C93)</f>
        <v>0</v>
      </c>
      <c r="D91" s="184">
        <f>SUM(D92:D93)</f>
        <v>0</v>
      </c>
      <c r="E91" s="184">
        <f>SUM(E92:E93)</f>
        <v>0</v>
      </c>
      <c r="F91" s="184">
        <f>SUM(F92:F93)</f>
        <v>0</v>
      </c>
      <c r="G91" s="188">
        <f t="shared" si="0"/>
        <v>0</v>
      </c>
      <c r="H91" s="149" t="e">
        <f t="shared" si="1"/>
        <v>#DIV/0!</v>
      </c>
      <c r="I91" s="96"/>
    </row>
    <row r="92" spans="1:9" ht="20.100000000000001" customHeight="1">
      <c r="A92" s="8" t="s">
        <v>147</v>
      </c>
      <c r="B92" s="9">
        <v>1151</v>
      </c>
      <c r="C92" s="188">
        <v>0</v>
      </c>
      <c r="D92" s="184">
        <v>0</v>
      </c>
      <c r="E92" s="184">
        <v>0</v>
      </c>
      <c r="F92" s="184">
        <v>0</v>
      </c>
      <c r="G92" s="184">
        <f t="shared" si="0"/>
        <v>0</v>
      </c>
      <c r="H92" s="149" t="e">
        <f t="shared" si="1"/>
        <v>#DIV/0!</v>
      </c>
      <c r="I92" s="96"/>
    </row>
    <row r="93" spans="1:9" ht="20.100000000000001" customHeight="1">
      <c r="A93" s="8" t="s">
        <v>246</v>
      </c>
      <c r="B93" s="9">
        <v>1152</v>
      </c>
      <c r="C93" s="188">
        <f>SUM(C94:C101)</f>
        <v>0</v>
      </c>
      <c r="D93" s="184">
        <f>SUM(D94:D101)</f>
        <v>0</v>
      </c>
      <c r="E93" s="184">
        <f>SUM(E94:E101)</f>
        <v>0</v>
      </c>
      <c r="F93" s="184">
        <f>SUM(F94:F101)</f>
        <v>0</v>
      </c>
      <c r="G93" s="184">
        <f t="shared" si="0"/>
        <v>0</v>
      </c>
      <c r="H93" s="149" t="e">
        <f t="shared" si="1"/>
        <v>#DIV/0!</v>
      </c>
      <c r="I93" s="96"/>
    </row>
    <row r="94" spans="1:9" ht="20.100000000000001" hidden="1" customHeight="1">
      <c r="A94" s="8" t="s">
        <v>512</v>
      </c>
      <c r="B94" s="9" t="s">
        <v>480</v>
      </c>
      <c r="C94" s="188">
        <v>0</v>
      </c>
      <c r="D94" s="184">
        <v>0</v>
      </c>
      <c r="E94" s="184">
        <v>0</v>
      </c>
      <c r="F94" s="184">
        <v>0</v>
      </c>
      <c r="G94" s="188">
        <f t="shared" si="0"/>
        <v>0</v>
      </c>
      <c r="H94" s="149" t="e">
        <f t="shared" si="1"/>
        <v>#DIV/0!</v>
      </c>
      <c r="I94" s="96"/>
    </row>
    <row r="95" spans="1:9" ht="20.100000000000001" hidden="1" customHeight="1">
      <c r="A95" s="8"/>
      <c r="B95" s="9" t="s">
        <v>481</v>
      </c>
      <c r="C95" s="188">
        <v>0</v>
      </c>
      <c r="D95" s="184">
        <v>0</v>
      </c>
      <c r="E95" s="184">
        <v>0</v>
      </c>
      <c r="F95" s="184">
        <v>0</v>
      </c>
      <c r="G95" s="188">
        <f t="shared" si="0"/>
        <v>0</v>
      </c>
      <c r="H95" s="149" t="e">
        <f t="shared" si="1"/>
        <v>#DIV/0!</v>
      </c>
      <c r="I95" s="96"/>
    </row>
    <row r="96" spans="1:9" ht="20.100000000000001" hidden="1" customHeight="1">
      <c r="A96" s="8"/>
      <c r="B96" s="9" t="s">
        <v>482</v>
      </c>
      <c r="C96" s="188">
        <v>0</v>
      </c>
      <c r="D96" s="184">
        <v>0</v>
      </c>
      <c r="E96" s="184">
        <v>0</v>
      </c>
      <c r="F96" s="184">
        <v>0</v>
      </c>
      <c r="G96" s="188">
        <f t="shared" si="0"/>
        <v>0</v>
      </c>
      <c r="H96" s="149" t="e">
        <f t="shared" si="1"/>
        <v>#DIV/0!</v>
      </c>
      <c r="I96" s="96"/>
    </row>
    <row r="97" spans="1:9" ht="20.100000000000001" hidden="1" customHeight="1">
      <c r="A97" s="8"/>
      <c r="B97" s="9" t="s">
        <v>483</v>
      </c>
      <c r="C97" s="188">
        <v>0</v>
      </c>
      <c r="D97" s="184">
        <v>0</v>
      </c>
      <c r="E97" s="184">
        <v>0</v>
      </c>
      <c r="F97" s="184">
        <v>0</v>
      </c>
      <c r="G97" s="188">
        <f t="shared" si="0"/>
        <v>0</v>
      </c>
      <c r="H97" s="149" t="e">
        <f t="shared" si="1"/>
        <v>#DIV/0!</v>
      </c>
      <c r="I97" s="96"/>
    </row>
    <row r="98" spans="1:9" ht="20.100000000000001" hidden="1" customHeight="1">
      <c r="A98" s="8"/>
      <c r="B98" s="9" t="s">
        <v>484</v>
      </c>
      <c r="C98" s="188">
        <v>0</v>
      </c>
      <c r="D98" s="184">
        <v>0</v>
      </c>
      <c r="E98" s="184">
        <v>0</v>
      </c>
      <c r="F98" s="184">
        <v>0</v>
      </c>
      <c r="G98" s="188">
        <f t="shared" si="0"/>
        <v>0</v>
      </c>
      <c r="H98" s="149" t="e">
        <f t="shared" si="1"/>
        <v>#DIV/0!</v>
      </c>
      <c r="I98" s="96"/>
    </row>
    <row r="99" spans="1:9" ht="20.100000000000001" hidden="1" customHeight="1">
      <c r="A99" s="8"/>
      <c r="B99" s="9" t="s">
        <v>485</v>
      </c>
      <c r="C99" s="188">
        <v>0</v>
      </c>
      <c r="D99" s="184">
        <v>0</v>
      </c>
      <c r="E99" s="184">
        <v>0</v>
      </c>
      <c r="F99" s="184">
        <v>0</v>
      </c>
      <c r="G99" s="188">
        <f t="shared" si="0"/>
        <v>0</v>
      </c>
      <c r="H99" s="149" t="e">
        <f t="shared" si="1"/>
        <v>#DIV/0!</v>
      </c>
      <c r="I99" s="96"/>
    </row>
    <row r="100" spans="1:9" ht="20.100000000000001" hidden="1" customHeight="1">
      <c r="A100" s="8"/>
      <c r="B100" s="9" t="s">
        <v>486</v>
      </c>
      <c r="C100" s="188">
        <v>0</v>
      </c>
      <c r="D100" s="184">
        <v>0</v>
      </c>
      <c r="E100" s="184">
        <v>0</v>
      </c>
      <c r="F100" s="184">
        <v>0</v>
      </c>
      <c r="G100" s="188">
        <f t="shared" si="0"/>
        <v>0</v>
      </c>
      <c r="H100" s="149" t="e">
        <f t="shared" si="1"/>
        <v>#DIV/0!</v>
      </c>
      <c r="I100" s="96"/>
    </row>
    <row r="101" spans="1:9" ht="20.100000000000001" hidden="1" customHeight="1">
      <c r="A101" s="8"/>
      <c r="B101" s="9" t="s">
        <v>487</v>
      </c>
      <c r="C101" s="188">
        <v>0</v>
      </c>
      <c r="D101" s="184">
        <v>0</v>
      </c>
      <c r="E101" s="184">
        <v>0</v>
      </c>
      <c r="F101" s="184">
        <v>0</v>
      </c>
      <c r="G101" s="188">
        <f t="shared" si="0"/>
        <v>0</v>
      </c>
      <c r="H101" s="149" t="e">
        <f t="shared" si="1"/>
        <v>#DIV/0!</v>
      </c>
      <c r="I101" s="96"/>
    </row>
    <row r="102" spans="1:9" ht="20.100000000000001" customHeight="1">
      <c r="A102" s="8" t="s">
        <v>247</v>
      </c>
      <c r="B102" s="9">
        <v>1160</v>
      </c>
      <c r="C102" s="230">
        <f>SUM(C103:C104)</f>
        <v>0</v>
      </c>
      <c r="D102" s="184">
        <f>SUM(D103:D104)</f>
        <v>0</v>
      </c>
      <c r="E102" s="184">
        <f>SUM(E103:E104)</f>
        <v>0</v>
      </c>
      <c r="F102" s="184">
        <f>SUM(F103:F104)</f>
        <v>0</v>
      </c>
      <c r="G102" s="188">
        <f t="shared" si="0"/>
        <v>0</v>
      </c>
      <c r="H102" s="149" t="e">
        <f t="shared" si="1"/>
        <v>#DIV/0!</v>
      </c>
      <c r="I102" s="96"/>
    </row>
    <row r="103" spans="1:9" ht="20.100000000000001" customHeight="1">
      <c r="A103" s="8" t="s">
        <v>147</v>
      </c>
      <c r="B103" s="9">
        <v>1161</v>
      </c>
      <c r="C103" s="188">
        <v>0</v>
      </c>
      <c r="D103" s="184">
        <v>0</v>
      </c>
      <c r="E103" s="184">
        <v>0</v>
      </c>
      <c r="F103" s="184">
        <v>0</v>
      </c>
      <c r="G103" s="188">
        <f t="shared" si="0"/>
        <v>0</v>
      </c>
      <c r="H103" s="149" t="e">
        <f t="shared" si="1"/>
        <v>#DIV/0!</v>
      </c>
      <c r="I103" s="96"/>
    </row>
    <row r="104" spans="1:9" ht="20.100000000000001" customHeight="1">
      <c r="A104" s="8" t="s">
        <v>101</v>
      </c>
      <c r="B104" s="9">
        <v>1162</v>
      </c>
      <c r="C104" s="188">
        <f>SUM(C105:C105)</f>
        <v>0</v>
      </c>
      <c r="D104" s="184">
        <f>SUM(D105:D105)</f>
        <v>0</v>
      </c>
      <c r="E104" s="184">
        <f>SUM(E105:E105)</f>
        <v>0</v>
      </c>
      <c r="F104" s="184">
        <f>SUM(F105:F105)</f>
        <v>0</v>
      </c>
      <c r="G104" s="188">
        <f t="shared" si="0"/>
        <v>0</v>
      </c>
      <c r="H104" s="149" t="e">
        <f t="shared" si="1"/>
        <v>#DIV/0!</v>
      </c>
      <c r="I104" s="96"/>
    </row>
    <row r="105" spans="1:9" ht="20.100000000000001" hidden="1" customHeight="1">
      <c r="A105" s="8" t="s">
        <v>535</v>
      </c>
      <c r="B105" s="9" t="s">
        <v>513</v>
      </c>
      <c r="C105" s="188"/>
      <c r="D105" s="184"/>
      <c r="E105" s="184">
        <v>0</v>
      </c>
      <c r="F105" s="184">
        <v>0</v>
      </c>
      <c r="G105" s="188">
        <f t="shared" si="0"/>
        <v>0</v>
      </c>
      <c r="H105" s="149" t="e">
        <f t="shared" si="1"/>
        <v>#DIV/0!</v>
      </c>
      <c r="I105" s="96"/>
    </row>
    <row r="106" spans="1:9" s="5" customFormat="1" ht="20.100000000000001" customHeight="1">
      <c r="A106" s="10" t="s">
        <v>82</v>
      </c>
      <c r="B106" s="11">
        <v>1170</v>
      </c>
      <c r="C106" s="212">
        <f>SUM(C86:C91,C102)</f>
        <v>13.600000000000364</v>
      </c>
      <c r="D106" s="210">
        <f>SUM(D86:D91,D102)</f>
        <v>48.299999999999727</v>
      </c>
      <c r="E106" s="210">
        <f>SUM(E86:E91,E102)</f>
        <v>7.3499999999999091</v>
      </c>
      <c r="F106" s="210">
        <f>SUM(F86:F91,F102)</f>
        <v>-6.5</v>
      </c>
      <c r="G106" s="232">
        <f t="shared" si="0"/>
        <v>-13.849999999999909</v>
      </c>
      <c r="H106" s="150">
        <f t="shared" si="1"/>
        <v>-88.435374149660959</v>
      </c>
      <c r="I106" s="97"/>
    </row>
    <row r="107" spans="1:9" ht="20.100000000000001" customHeight="1">
      <c r="A107" s="8" t="s">
        <v>238</v>
      </c>
      <c r="B107" s="7">
        <v>1180</v>
      </c>
      <c r="C107" s="188"/>
      <c r="D107" s="184"/>
      <c r="E107" s="184"/>
      <c r="F107" s="184"/>
      <c r="G107" s="188">
        <f t="shared" ref="G107:G116" si="6">F107-E107</f>
        <v>0</v>
      </c>
      <c r="H107" s="149" t="e">
        <f t="shared" ref="H107:H116" si="7">(F107/E107)*100</f>
        <v>#DIV/0!</v>
      </c>
      <c r="I107" s="96"/>
    </row>
    <row r="108" spans="1:9" ht="20.100000000000001" customHeight="1">
      <c r="A108" s="8" t="s">
        <v>239</v>
      </c>
      <c r="B108" s="7">
        <v>1181</v>
      </c>
      <c r="C108" s="188">
        <v>0</v>
      </c>
      <c r="D108" s="184">
        <v>0</v>
      </c>
      <c r="E108" s="184">
        <v>0</v>
      </c>
      <c r="F108" s="184">
        <v>0</v>
      </c>
      <c r="G108" s="188">
        <f t="shared" si="6"/>
        <v>0</v>
      </c>
      <c r="H108" s="149" t="e">
        <f t="shared" si="7"/>
        <v>#DIV/0!</v>
      </c>
      <c r="I108" s="96"/>
    </row>
    <row r="109" spans="1:9" ht="20.100000000000001" customHeight="1">
      <c r="A109" s="8" t="s">
        <v>240</v>
      </c>
      <c r="B109" s="9">
        <v>1190</v>
      </c>
      <c r="C109" s="188">
        <v>0</v>
      </c>
      <c r="D109" s="184">
        <v>0</v>
      </c>
      <c r="E109" s="184">
        <v>0</v>
      </c>
      <c r="F109" s="184">
        <v>0</v>
      </c>
      <c r="G109" s="188">
        <f t="shared" si="6"/>
        <v>0</v>
      </c>
      <c r="H109" s="149" t="e">
        <f t="shared" si="7"/>
        <v>#DIV/0!</v>
      </c>
      <c r="I109" s="96"/>
    </row>
    <row r="110" spans="1:9" ht="20.100000000000001" customHeight="1">
      <c r="A110" s="8" t="s">
        <v>241</v>
      </c>
      <c r="B110" s="6">
        <v>1191</v>
      </c>
      <c r="C110" s="188">
        <v>0</v>
      </c>
      <c r="D110" s="184">
        <v>0</v>
      </c>
      <c r="E110" s="184">
        <v>0</v>
      </c>
      <c r="F110" s="184">
        <v>0</v>
      </c>
      <c r="G110" s="188">
        <f t="shared" si="6"/>
        <v>0</v>
      </c>
      <c r="H110" s="149" t="e">
        <f t="shared" si="7"/>
        <v>#DIV/0!</v>
      </c>
      <c r="I110" s="96"/>
    </row>
    <row r="111" spans="1:9" s="5" customFormat="1" ht="20.100000000000001" customHeight="1">
      <c r="A111" s="10" t="s">
        <v>260</v>
      </c>
      <c r="B111" s="11">
        <v>1200</v>
      </c>
      <c r="C111" s="212">
        <f>SUM(C106:C110)</f>
        <v>13.600000000000364</v>
      </c>
      <c r="D111" s="210">
        <f>SUM(D106:D110)</f>
        <v>48.299999999999727</v>
      </c>
      <c r="E111" s="210">
        <f>SUM(E106:E110)</f>
        <v>7.3499999999999091</v>
      </c>
      <c r="F111" s="210">
        <f>SUM(F106:F110)</f>
        <v>-6.5</v>
      </c>
      <c r="G111" s="232">
        <f t="shared" si="6"/>
        <v>-13.849999999999909</v>
      </c>
      <c r="H111" s="150">
        <f t="shared" si="7"/>
        <v>-88.435374149660959</v>
      </c>
      <c r="I111" s="97"/>
    </row>
    <row r="112" spans="1:9" ht="20.100000000000001" customHeight="1">
      <c r="A112" s="8" t="s">
        <v>25</v>
      </c>
      <c r="B112" s="6">
        <v>1201</v>
      </c>
      <c r="C112" s="188">
        <v>13.6</v>
      </c>
      <c r="D112" s="184">
        <v>48.3</v>
      </c>
      <c r="E112" s="184">
        <v>7.3</v>
      </c>
      <c r="F112" s="184">
        <v>0</v>
      </c>
      <c r="G112" s="188">
        <f>F112-E112</f>
        <v>-7.3</v>
      </c>
      <c r="H112" s="149">
        <f t="shared" si="7"/>
        <v>0</v>
      </c>
      <c r="I112" s="95"/>
    </row>
    <row r="113" spans="1:9" ht="20.100000000000001" customHeight="1">
      <c r="A113" s="8" t="s">
        <v>26</v>
      </c>
      <c r="B113" s="6">
        <v>1202</v>
      </c>
      <c r="C113" s="188">
        <v>0</v>
      </c>
      <c r="D113" s="184">
        <v>0</v>
      </c>
      <c r="E113" s="184">
        <v>0</v>
      </c>
      <c r="F113" s="184">
        <v>-6.5</v>
      </c>
      <c r="G113" s="188">
        <f t="shared" si="6"/>
        <v>-6.5</v>
      </c>
      <c r="H113" s="149" t="e">
        <f t="shared" si="7"/>
        <v>#DIV/0!</v>
      </c>
      <c r="I113" s="95"/>
    </row>
    <row r="114" spans="1:9" s="5" customFormat="1" ht="20.100000000000001" customHeight="1">
      <c r="A114" s="10" t="s">
        <v>19</v>
      </c>
      <c r="B114" s="11">
        <v>1210</v>
      </c>
      <c r="C114" s="235">
        <f>SUM(C7,C69,C87,C89,C91,C108,C109)</f>
        <v>2116.7000000000003</v>
      </c>
      <c r="D114" s="210">
        <f>SUM(D7,D69,D87,D89,D91,D108,D109)</f>
        <v>2340.3999999999992</v>
      </c>
      <c r="E114" s="210">
        <f>SUM(E7,E69,E87,E89,E91,E108,E109)</f>
        <v>1648</v>
      </c>
      <c r="F114" s="210">
        <f>SUM(F7,F69,F87,F89,F91,F108,F109)</f>
        <v>1349.2</v>
      </c>
      <c r="G114" s="232">
        <f t="shared" si="6"/>
        <v>-298.79999999999995</v>
      </c>
      <c r="H114" s="150">
        <f t="shared" si="7"/>
        <v>81.868932038834956</v>
      </c>
      <c r="I114" s="97"/>
    </row>
    <row r="115" spans="1:9" s="5" customFormat="1" ht="20.100000000000001" customHeight="1">
      <c r="A115" s="10" t="s">
        <v>98</v>
      </c>
      <c r="B115" s="11">
        <v>1220</v>
      </c>
      <c r="C115" s="235">
        <f>SUM(C8,C24,C57,C78,C88,C90,C102,C107,C110)</f>
        <v>-2103.1</v>
      </c>
      <c r="D115" s="210">
        <f>SUM(D8,D24,D57,D78,D88,D90,D102,D107,D110)</f>
        <v>-2292.1</v>
      </c>
      <c r="E115" s="210">
        <f>SUM(E8,E24,E57,E78,E88,E90,E102,E107,E110)</f>
        <v>-1640.65</v>
      </c>
      <c r="F115" s="210">
        <f>SUM(F8,F24,F57,F78,F88,F90,F102,F107,F110)</f>
        <v>-1355.7</v>
      </c>
      <c r="G115" s="232">
        <f t="shared" si="6"/>
        <v>284.95000000000005</v>
      </c>
      <c r="H115" s="150">
        <f t="shared" si="7"/>
        <v>82.63188370462926</v>
      </c>
      <c r="I115" s="97"/>
    </row>
    <row r="116" spans="1:9" ht="20.100000000000001" customHeight="1">
      <c r="A116" s="8" t="s">
        <v>175</v>
      </c>
      <c r="B116" s="9">
        <v>1230</v>
      </c>
      <c r="C116" s="188">
        <v>0</v>
      </c>
      <c r="D116" s="184">
        <v>0</v>
      </c>
      <c r="E116" s="184">
        <v>0</v>
      </c>
      <c r="F116" s="184">
        <v>0</v>
      </c>
      <c r="G116" s="116">
        <f t="shared" si="6"/>
        <v>0</v>
      </c>
      <c r="H116" s="149" t="e">
        <f t="shared" si="7"/>
        <v>#DIV/0!</v>
      </c>
      <c r="I116" s="96"/>
    </row>
    <row r="117" spans="1:9" ht="24.95" customHeight="1">
      <c r="A117" s="302" t="s">
        <v>120</v>
      </c>
      <c r="B117" s="302"/>
      <c r="C117" s="302"/>
      <c r="D117" s="302"/>
      <c r="E117" s="302"/>
      <c r="F117" s="302"/>
      <c r="G117" s="302"/>
      <c r="H117" s="302"/>
      <c r="I117" s="302"/>
    </row>
    <row r="118" spans="1:9" ht="20.100000000000001" customHeight="1">
      <c r="A118" s="8" t="s">
        <v>186</v>
      </c>
      <c r="B118" s="9">
        <v>1300</v>
      </c>
      <c r="C118" s="230">
        <f>C86</f>
        <v>13.600000000000364</v>
      </c>
      <c r="D118" s="184">
        <f>D86</f>
        <v>48.299999999999727</v>
      </c>
      <c r="E118" s="184">
        <f>E86</f>
        <v>7.3499999999999091</v>
      </c>
      <c r="F118" s="184">
        <f>F86</f>
        <v>-6.5</v>
      </c>
      <c r="G118" s="184">
        <f>F118-E118</f>
        <v>-13.849999999999909</v>
      </c>
      <c r="H118" s="149">
        <f>(F118/E118)*100</f>
        <v>-88.435374149660959</v>
      </c>
      <c r="I118" s="96"/>
    </row>
    <row r="119" spans="1:9" ht="20.100000000000001" customHeight="1">
      <c r="A119" s="8" t="s">
        <v>312</v>
      </c>
      <c r="B119" s="9">
        <v>1301</v>
      </c>
      <c r="C119" s="230">
        <f>C131</f>
        <v>24.4</v>
      </c>
      <c r="D119" s="184">
        <f>D131</f>
        <v>30.7</v>
      </c>
      <c r="E119" s="184">
        <f>E131</f>
        <v>18</v>
      </c>
      <c r="F119" s="184">
        <f>F131</f>
        <v>17.100000000000001</v>
      </c>
      <c r="G119" s="184">
        <f t="shared" ref="G119:G124" si="8">F119-E119</f>
        <v>-0.89999999999999858</v>
      </c>
      <c r="H119" s="149">
        <f t="shared" ref="H119:H124" si="9">(F119/E119)*100</f>
        <v>95</v>
      </c>
      <c r="I119" s="96"/>
    </row>
    <row r="120" spans="1:9" ht="20.100000000000001" customHeight="1">
      <c r="A120" s="8" t="s">
        <v>313</v>
      </c>
      <c r="B120" s="9">
        <v>1302</v>
      </c>
      <c r="C120" s="230">
        <f>C70</f>
        <v>0</v>
      </c>
      <c r="D120" s="184">
        <f>D70</f>
        <v>0</v>
      </c>
      <c r="E120" s="184">
        <f>E70</f>
        <v>0</v>
      </c>
      <c r="F120" s="184">
        <f>F70</f>
        <v>0</v>
      </c>
      <c r="G120" s="184">
        <f>F120-E120</f>
        <v>0</v>
      </c>
      <c r="H120" s="149" t="e">
        <f t="shared" si="9"/>
        <v>#DIV/0!</v>
      </c>
      <c r="I120" s="96"/>
    </row>
    <row r="121" spans="1:9" ht="20.100000000000001" customHeight="1">
      <c r="A121" s="8" t="s">
        <v>314</v>
      </c>
      <c r="B121" s="9">
        <v>1303</v>
      </c>
      <c r="C121" s="230">
        <f>C79</f>
        <v>0</v>
      </c>
      <c r="D121" s="184">
        <f>D79</f>
        <v>0</v>
      </c>
      <c r="E121" s="184">
        <f>E79</f>
        <v>0</v>
      </c>
      <c r="F121" s="184">
        <f>F79</f>
        <v>0</v>
      </c>
      <c r="G121" s="184">
        <f t="shared" si="8"/>
        <v>0</v>
      </c>
      <c r="H121" s="149" t="e">
        <f t="shared" si="9"/>
        <v>#DIV/0!</v>
      </c>
      <c r="I121" s="96"/>
    </row>
    <row r="122" spans="1:9" ht="20.100000000000001" customHeight="1">
      <c r="A122" s="8" t="s">
        <v>315</v>
      </c>
      <c r="B122" s="9">
        <v>1304</v>
      </c>
      <c r="C122" s="230">
        <f>C71</f>
        <v>0</v>
      </c>
      <c r="D122" s="184">
        <f>D71</f>
        <v>0</v>
      </c>
      <c r="E122" s="184">
        <f>E71</f>
        <v>0</v>
      </c>
      <c r="F122" s="184">
        <f>F71</f>
        <v>0</v>
      </c>
      <c r="G122" s="184">
        <f t="shared" si="8"/>
        <v>0</v>
      </c>
      <c r="H122" s="149" t="e">
        <f t="shared" si="9"/>
        <v>#DIV/0!</v>
      </c>
      <c r="I122" s="96"/>
    </row>
    <row r="123" spans="1:9" ht="20.25" customHeight="1">
      <c r="A123" s="8" t="s">
        <v>316</v>
      </c>
      <c r="B123" s="9">
        <v>1305</v>
      </c>
      <c r="C123" s="230">
        <f>C80</f>
        <v>0</v>
      </c>
      <c r="D123" s="184">
        <f>D80</f>
        <v>0</v>
      </c>
      <c r="E123" s="184">
        <f>E80</f>
        <v>0</v>
      </c>
      <c r="F123" s="184">
        <f>F80</f>
        <v>0</v>
      </c>
      <c r="G123" s="184">
        <f t="shared" si="8"/>
        <v>0</v>
      </c>
      <c r="H123" s="149" t="e">
        <f t="shared" si="9"/>
        <v>#DIV/0!</v>
      </c>
      <c r="I123" s="96"/>
    </row>
    <row r="124" spans="1:9" s="5" customFormat="1" ht="20.100000000000001" customHeight="1">
      <c r="A124" s="10" t="s">
        <v>114</v>
      </c>
      <c r="B124" s="11">
        <v>1310</v>
      </c>
      <c r="C124" s="231">
        <f>C118+C119-C120-C121-C122-C123</f>
        <v>38.000000000000362</v>
      </c>
      <c r="D124" s="210">
        <f>D118+D119-D120-D121-D122-D123</f>
        <v>78.99999999999973</v>
      </c>
      <c r="E124" s="210">
        <f>E118+E119-E120-E121-E122-E123</f>
        <v>25.349999999999909</v>
      </c>
      <c r="F124" s="210">
        <f>F118+F119-F120-F121-F122-F123</f>
        <v>10.600000000000001</v>
      </c>
      <c r="G124" s="210">
        <f t="shared" si="8"/>
        <v>-14.749999999999908</v>
      </c>
      <c r="H124" s="150">
        <f t="shared" si="9"/>
        <v>41.814595660749667</v>
      </c>
      <c r="I124" s="97"/>
    </row>
    <row r="125" spans="1:9" s="5" customFormat="1" ht="20.100000000000001" customHeight="1">
      <c r="A125" s="275" t="s">
        <v>154</v>
      </c>
      <c r="B125" s="276"/>
      <c r="C125" s="276"/>
      <c r="D125" s="276"/>
      <c r="E125" s="276"/>
      <c r="F125" s="276"/>
      <c r="G125" s="276"/>
      <c r="H125" s="276"/>
      <c r="I125" s="277"/>
    </row>
    <row r="126" spans="1:9" s="5" customFormat="1" ht="20.100000000000001" customHeight="1">
      <c r="A126" s="8" t="s">
        <v>187</v>
      </c>
      <c r="B126" s="9">
        <v>1400</v>
      </c>
      <c r="C126" s="188">
        <v>2.5</v>
      </c>
      <c r="D126" s="184">
        <f>3.3</f>
        <v>3.3</v>
      </c>
      <c r="E126" s="184">
        <v>0</v>
      </c>
      <c r="F126" s="184">
        <v>0</v>
      </c>
      <c r="G126" s="184">
        <f>F126-E126</f>
        <v>0</v>
      </c>
      <c r="H126" s="149" t="e">
        <f>(F126/E126)*100</f>
        <v>#DIV/0!</v>
      </c>
      <c r="I126" s="96"/>
    </row>
    <row r="127" spans="1:9" s="5" customFormat="1" ht="20.100000000000001" customHeight="1">
      <c r="A127" s="8" t="s">
        <v>188</v>
      </c>
      <c r="B127" s="40">
        <v>1401</v>
      </c>
      <c r="C127" s="188">
        <v>0</v>
      </c>
      <c r="D127" s="184">
        <v>3.3</v>
      </c>
      <c r="E127" s="184">
        <v>0</v>
      </c>
      <c r="F127" s="184">
        <v>0</v>
      </c>
      <c r="G127" s="184">
        <f t="shared" ref="G127:G133" si="10">F127-E127</f>
        <v>0</v>
      </c>
      <c r="H127" s="149" t="e">
        <f t="shared" ref="H127:H133" si="11">(F127/E127)*100</f>
        <v>#DIV/0!</v>
      </c>
      <c r="I127" s="95"/>
    </row>
    <row r="128" spans="1:9" s="5" customFormat="1" ht="20.100000000000001" customHeight="1">
      <c r="A128" s="8" t="s">
        <v>28</v>
      </c>
      <c r="B128" s="40">
        <v>1402</v>
      </c>
      <c r="C128" s="188">
        <v>0</v>
      </c>
      <c r="D128" s="184">
        <v>0</v>
      </c>
      <c r="E128" s="184">
        <v>0</v>
      </c>
      <c r="F128" s="184">
        <v>0</v>
      </c>
      <c r="G128" s="184">
        <f t="shared" si="10"/>
        <v>0</v>
      </c>
      <c r="H128" s="149" t="e">
        <f t="shared" si="11"/>
        <v>#DIV/0!</v>
      </c>
      <c r="I128" s="95"/>
    </row>
    <row r="129" spans="1:9" s="5" customFormat="1" ht="20.100000000000001" customHeight="1">
      <c r="A129" s="8" t="s">
        <v>5</v>
      </c>
      <c r="B129" s="13">
        <v>1410</v>
      </c>
      <c r="C129" s="188">
        <v>1580.2</v>
      </c>
      <c r="D129" s="184">
        <f>732.9+1072.5</f>
        <v>1805.4</v>
      </c>
      <c r="E129" s="184">
        <v>1229.5</v>
      </c>
      <c r="F129" s="184">
        <v>1072.5</v>
      </c>
      <c r="G129" s="184">
        <f t="shared" si="10"/>
        <v>-157</v>
      </c>
      <c r="H129" s="149">
        <f t="shared" si="11"/>
        <v>87.230581537210256</v>
      </c>
      <c r="I129" s="96"/>
    </row>
    <row r="130" spans="1:9" s="5" customFormat="1" ht="20.100000000000001" customHeight="1">
      <c r="A130" s="8" t="s">
        <v>6</v>
      </c>
      <c r="B130" s="13">
        <v>1420</v>
      </c>
      <c r="C130" s="188">
        <v>339.7</v>
      </c>
      <c r="D130" s="184">
        <f>161.5+240.1</f>
        <v>401.6</v>
      </c>
      <c r="E130" s="184">
        <v>270.39999999999998</v>
      </c>
      <c r="F130" s="184">
        <v>240.1</v>
      </c>
      <c r="G130" s="184">
        <f t="shared" si="10"/>
        <v>-30.299999999999983</v>
      </c>
      <c r="H130" s="149">
        <f t="shared" si="11"/>
        <v>88.794378698224861</v>
      </c>
      <c r="I130" s="96"/>
    </row>
    <row r="131" spans="1:9" s="5" customFormat="1" ht="20.100000000000001" customHeight="1">
      <c r="A131" s="8" t="s">
        <v>7</v>
      </c>
      <c r="B131" s="13">
        <v>1430</v>
      </c>
      <c r="C131" s="188">
        <v>24.4</v>
      </c>
      <c r="D131" s="184">
        <v>30.7</v>
      </c>
      <c r="E131" s="184">
        <v>18</v>
      </c>
      <c r="F131" s="184">
        <v>17.100000000000001</v>
      </c>
      <c r="G131" s="184">
        <f t="shared" si="10"/>
        <v>-0.89999999999999858</v>
      </c>
      <c r="H131" s="149">
        <f t="shared" si="11"/>
        <v>95</v>
      </c>
      <c r="I131" s="96"/>
    </row>
    <row r="132" spans="1:9" s="5" customFormat="1" ht="20.100000000000001" customHeight="1">
      <c r="A132" s="8" t="s">
        <v>29</v>
      </c>
      <c r="B132" s="13">
        <v>1440</v>
      </c>
      <c r="C132" s="188">
        <v>156.30000000000001</v>
      </c>
      <c r="D132" s="184">
        <v>51.1</v>
      </c>
      <c r="E132" s="184">
        <v>122.8</v>
      </c>
      <c r="F132" s="184">
        <v>26</v>
      </c>
      <c r="G132" s="184">
        <f t="shared" si="10"/>
        <v>-96.8</v>
      </c>
      <c r="H132" s="149">
        <f t="shared" si="11"/>
        <v>21.172638436482085</v>
      </c>
      <c r="I132" s="96"/>
    </row>
    <row r="133" spans="1:9" s="5" customFormat="1">
      <c r="A133" s="10" t="s">
        <v>49</v>
      </c>
      <c r="B133" s="51">
        <v>1450</v>
      </c>
      <c r="C133" s="229">
        <f>SUM(C126,C129:C132)</f>
        <v>2103.1000000000004</v>
      </c>
      <c r="D133" s="210">
        <f>SUM(D126,D129:D132)</f>
        <v>2292.1</v>
      </c>
      <c r="E133" s="210">
        <f>SUM(E126,E129:E132)</f>
        <v>1640.7</v>
      </c>
      <c r="F133" s="210">
        <f>SUM(F126,F129:F132)</f>
        <v>1355.6999999999998</v>
      </c>
      <c r="G133" s="210">
        <f t="shared" si="10"/>
        <v>-285.00000000000023</v>
      </c>
      <c r="H133" s="150">
        <f t="shared" si="11"/>
        <v>82.629365514719311</v>
      </c>
      <c r="I133" s="97"/>
    </row>
    <row r="134" spans="1:9" s="5" customFormat="1">
      <c r="A134" s="59"/>
      <c r="B134" s="69"/>
      <c r="C134" s="196"/>
      <c r="D134" s="69"/>
      <c r="E134" s="69"/>
      <c r="F134" s="69"/>
      <c r="G134" s="69"/>
      <c r="H134" s="69"/>
      <c r="I134" s="69"/>
    </row>
    <row r="135" spans="1:9" s="5" customFormat="1">
      <c r="A135" s="259" t="s">
        <v>553</v>
      </c>
      <c r="B135" s="69"/>
      <c r="C135" s="296" t="s">
        <v>584</v>
      </c>
      <c r="D135" s="297"/>
      <c r="E135" s="297"/>
      <c r="F135" s="297"/>
      <c r="G135" s="298" t="s">
        <v>554</v>
      </c>
      <c r="H135" s="299"/>
      <c r="I135" s="69"/>
    </row>
    <row r="136" spans="1:9">
      <c r="A136" s="259" t="s">
        <v>583</v>
      </c>
      <c r="B136" s="1"/>
      <c r="C136" s="294" t="s">
        <v>89</v>
      </c>
      <c r="D136" s="295"/>
      <c r="E136" s="295"/>
      <c r="F136" s="295"/>
      <c r="G136" s="290" t="s">
        <v>580</v>
      </c>
      <c r="H136" s="290"/>
      <c r="I136" s="3"/>
    </row>
    <row r="137" spans="1:9" s="2" customFormat="1" ht="20.100000000000001" customHeight="1">
      <c r="A137" s="78"/>
      <c r="B137" s="3"/>
      <c r="C137" s="284"/>
      <c r="D137" s="284"/>
      <c r="E137" s="284"/>
      <c r="F137" s="284"/>
      <c r="G137" s="289"/>
      <c r="H137" s="289"/>
      <c r="I137" s="4"/>
    </row>
    <row r="138" spans="1:9" s="2" customFormat="1">
      <c r="A138" s="78"/>
      <c r="B138" s="3"/>
      <c r="C138" s="266"/>
      <c r="D138" s="266"/>
      <c r="E138" s="3"/>
      <c r="F138" s="289"/>
      <c r="G138" s="289"/>
      <c r="H138" s="289"/>
    </row>
    <row r="139" spans="1:9">
      <c r="A139" s="27"/>
    </row>
    <row r="140" spans="1:9">
      <c r="A140" s="27"/>
    </row>
    <row r="141" spans="1:9">
      <c r="A141" s="27"/>
    </row>
    <row r="142" spans="1:9">
      <c r="A142" s="27"/>
    </row>
    <row r="143" spans="1:9">
      <c r="A143" s="27"/>
    </row>
    <row r="144" spans="1:9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27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  <row r="183" spans="1:1">
      <c r="A183" s="27"/>
    </row>
    <row r="184" spans="1:1">
      <c r="A184" s="27"/>
    </row>
    <row r="185" spans="1:1">
      <c r="A185" s="27"/>
    </row>
    <row r="186" spans="1:1">
      <c r="A186" s="27"/>
    </row>
    <row r="187" spans="1:1">
      <c r="A187" s="27"/>
    </row>
    <row r="188" spans="1:1">
      <c r="A188" s="27"/>
    </row>
    <row r="189" spans="1:1">
      <c r="A189" s="27"/>
    </row>
    <row r="190" spans="1:1">
      <c r="A190" s="27"/>
    </row>
    <row r="191" spans="1:1">
      <c r="A191" s="27"/>
    </row>
    <row r="192" spans="1:1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  <row r="329" spans="1:1">
      <c r="A329" s="52"/>
    </row>
    <row r="330" spans="1:1">
      <c r="A330" s="52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</sheetData>
  <mergeCells count="16">
    <mergeCell ref="C135:F135"/>
    <mergeCell ref="G135:H135"/>
    <mergeCell ref="A1:I1"/>
    <mergeCell ref="A125:I125"/>
    <mergeCell ref="C3:D3"/>
    <mergeCell ref="E3:I3"/>
    <mergeCell ref="B3:B4"/>
    <mergeCell ref="A3:A4"/>
    <mergeCell ref="A6:I6"/>
    <mergeCell ref="A117:I117"/>
    <mergeCell ref="C136:F136"/>
    <mergeCell ref="G136:H136"/>
    <mergeCell ref="C137:F137"/>
    <mergeCell ref="G137:H137"/>
    <mergeCell ref="C138:D138"/>
    <mergeCell ref="F138:H138"/>
  </mergeCells>
  <phoneticPr fontId="0" type="noConversion"/>
  <pageMargins left="1.1811023622047245" right="0.39370078740157483" top="0.59055118110236227" bottom="0.59055118110236227" header="0.19685039370078741" footer="0.11811023622047245"/>
  <pageSetup paperSize="9" scale="55" orientation="landscape" horizontalDpi="300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rowBreaks count="2" manualBreakCount="2">
    <brk id="33" max="8" man="1"/>
    <brk id="6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02"/>
  <sheetViews>
    <sheetView view="pageBreakPreview" zoomScale="75" zoomScaleNormal="77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9" sqref="F39"/>
    </sheetView>
  </sheetViews>
  <sheetFormatPr defaultRowHeight="18.75"/>
  <cols>
    <col min="1" max="1" width="86.85546875" style="46" customWidth="1"/>
    <col min="2" max="2" width="15.28515625" style="49" customWidth="1"/>
    <col min="3" max="3" width="23.7109375" style="49" customWidth="1"/>
    <col min="4" max="4" width="33.28515625" style="49" customWidth="1"/>
    <col min="5" max="5" width="25.140625" style="49" customWidth="1"/>
    <col min="6" max="6" width="31.140625" style="49" customWidth="1"/>
    <col min="7" max="7" width="20.85546875" style="49" customWidth="1"/>
    <col min="8" max="8" width="20.570312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303" t="s">
        <v>117</v>
      </c>
      <c r="B1" s="303"/>
      <c r="C1" s="303"/>
      <c r="D1" s="303"/>
      <c r="E1" s="303"/>
      <c r="F1" s="303"/>
      <c r="G1" s="303"/>
      <c r="H1" s="303"/>
    </row>
    <row r="2" spans="1:8">
      <c r="A2" s="303"/>
      <c r="B2" s="303"/>
      <c r="C2" s="303"/>
      <c r="D2" s="303"/>
      <c r="E2" s="303"/>
      <c r="F2" s="303"/>
      <c r="G2" s="303"/>
      <c r="H2" s="303"/>
    </row>
    <row r="3" spans="1:8" ht="38.25" customHeight="1">
      <c r="A3" s="285" t="s">
        <v>189</v>
      </c>
      <c r="B3" s="307" t="s">
        <v>18</v>
      </c>
      <c r="C3" s="283" t="s">
        <v>318</v>
      </c>
      <c r="D3" s="283"/>
      <c r="E3" s="285" t="s">
        <v>453</v>
      </c>
      <c r="F3" s="285"/>
      <c r="G3" s="285"/>
      <c r="H3" s="285"/>
    </row>
    <row r="4" spans="1:8" ht="27" customHeight="1">
      <c r="A4" s="285"/>
      <c r="B4" s="307"/>
      <c r="C4" s="7" t="s">
        <v>176</v>
      </c>
      <c r="D4" s="7" t="s">
        <v>177</v>
      </c>
      <c r="E4" s="7" t="s">
        <v>178</v>
      </c>
      <c r="F4" s="7" t="s">
        <v>166</v>
      </c>
      <c r="G4" s="73" t="s">
        <v>184</v>
      </c>
      <c r="H4" s="73" t="s">
        <v>185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75" customHeight="1">
      <c r="A6" s="305" t="s">
        <v>116</v>
      </c>
      <c r="B6" s="305"/>
      <c r="C6" s="305"/>
      <c r="D6" s="305"/>
      <c r="E6" s="305"/>
      <c r="F6" s="305"/>
      <c r="G6" s="305"/>
      <c r="H6" s="305"/>
    </row>
    <row r="7" spans="1:8" ht="30" customHeight="1">
      <c r="A7" s="47" t="s">
        <v>268</v>
      </c>
      <c r="B7" s="54">
        <v>1200</v>
      </c>
      <c r="C7" s="236">
        <f>'I. Фін результат'!C111</f>
        <v>13.600000000000364</v>
      </c>
      <c r="D7" s="236">
        <f>'I. Фін результат'!D111</f>
        <v>48.299999999999727</v>
      </c>
      <c r="E7" s="236">
        <f>'I. Фін результат'!E111</f>
        <v>7.3499999999999091</v>
      </c>
      <c r="F7" s="236">
        <f>'I. Фін результат'!F111</f>
        <v>-6.5</v>
      </c>
      <c r="G7" s="169">
        <f>F7-E7</f>
        <v>-13.849999999999909</v>
      </c>
      <c r="H7" s="170">
        <f>(F7/E7)*100</f>
        <v>-88.435374149660959</v>
      </c>
    </row>
    <row r="8" spans="1:8" ht="48.95" customHeight="1">
      <c r="A8" s="47" t="s">
        <v>51</v>
      </c>
      <c r="B8" s="6">
        <v>2000</v>
      </c>
      <c r="C8" s="237">
        <v>8.8000000000000007</v>
      </c>
      <c r="D8" s="237"/>
      <c r="E8" s="237">
        <v>0</v>
      </c>
      <c r="F8" s="237"/>
      <c r="G8" s="169">
        <f>F8-E8</f>
        <v>0</v>
      </c>
      <c r="H8" s="170" t="e">
        <f>(F8/E8)*100</f>
        <v>#DIV/0!</v>
      </c>
    </row>
    <row r="9" spans="1:8" ht="45" customHeight="1">
      <c r="A9" s="47" t="s">
        <v>248</v>
      </c>
      <c r="B9" s="6">
        <v>2010</v>
      </c>
      <c r="C9" s="238">
        <f>SUM(C10:C11)</f>
        <v>0</v>
      </c>
      <c r="D9" s="238">
        <f>SUM(D10:D11)</f>
        <v>0</v>
      </c>
      <c r="E9" s="238">
        <f>SUM(E10:E11)</f>
        <v>0</v>
      </c>
      <c r="F9" s="238">
        <f>SUM(F10:F11)</f>
        <v>0</v>
      </c>
      <c r="G9" s="169">
        <f t="shared" ref="G9:G19" si="0">F9-E9</f>
        <v>0</v>
      </c>
      <c r="H9" s="170" t="e">
        <f t="shared" ref="H9:H19" si="1">(F9/E9)*100</f>
        <v>#DIV/0!</v>
      </c>
    </row>
    <row r="10" spans="1:8" ht="45" customHeight="1">
      <c r="A10" s="8" t="s">
        <v>141</v>
      </c>
      <c r="B10" s="6">
        <v>2011</v>
      </c>
      <c r="C10" s="237" t="s">
        <v>220</v>
      </c>
      <c r="D10" s="237" t="s">
        <v>220</v>
      </c>
      <c r="E10" s="237" t="s">
        <v>220</v>
      </c>
      <c r="F10" s="237" t="s">
        <v>220</v>
      </c>
      <c r="G10" s="169" t="e">
        <f t="shared" si="0"/>
        <v>#VALUE!</v>
      </c>
      <c r="H10" s="170" t="e">
        <f t="shared" si="1"/>
        <v>#VALUE!</v>
      </c>
    </row>
    <row r="11" spans="1:8" ht="45" customHeight="1">
      <c r="A11" s="8" t="s">
        <v>433</v>
      </c>
      <c r="B11" s="6">
        <v>2012</v>
      </c>
      <c r="C11" s="237" t="s">
        <v>220</v>
      </c>
      <c r="D11" s="237" t="s">
        <v>220</v>
      </c>
      <c r="E11" s="237" t="s">
        <v>220</v>
      </c>
      <c r="F11" s="237" t="s">
        <v>220</v>
      </c>
      <c r="G11" s="169" t="e">
        <f t="shared" si="0"/>
        <v>#VALUE!</v>
      </c>
      <c r="H11" s="170" t="e">
        <f t="shared" si="1"/>
        <v>#VALUE!</v>
      </c>
    </row>
    <row r="12" spans="1:8" ht="24.95" customHeight="1">
      <c r="A12" s="8" t="s">
        <v>125</v>
      </c>
      <c r="B12" s="6" t="s">
        <v>148</v>
      </c>
      <c r="C12" s="237" t="s">
        <v>220</v>
      </c>
      <c r="D12" s="237" t="s">
        <v>220</v>
      </c>
      <c r="E12" s="237" t="s">
        <v>220</v>
      </c>
      <c r="F12" s="237" t="s">
        <v>220</v>
      </c>
      <c r="G12" s="169" t="e">
        <f t="shared" si="0"/>
        <v>#VALUE!</v>
      </c>
      <c r="H12" s="170" t="e">
        <f t="shared" si="1"/>
        <v>#VALUE!</v>
      </c>
    </row>
    <row r="13" spans="1:8" ht="24.95" customHeight="1">
      <c r="A13" s="8" t="s">
        <v>134</v>
      </c>
      <c r="B13" s="6">
        <v>2020</v>
      </c>
      <c r="C13" s="237" t="s">
        <v>220</v>
      </c>
      <c r="D13" s="237" t="s">
        <v>220</v>
      </c>
      <c r="E13" s="237" t="s">
        <v>220</v>
      </c>
      <c r="F13" s="237" t="s">
        <v>220</v>
      </c>
      <c r="G13" s="169" t="e">
        <f t="shared" si="0"/>
        <v>#VALUE!</v>
      </c>
      <c r="H13" s="170" t="e">
        <f t="shared" si="1"/>
        <v>#VALUE!</v>
      </c>
    </row>
    <row r="14" spans="1:8" s="48" customFormat="1" ht="24.95" customHeight="1">
      <c r="A14" s="47" t="s">
        <v>61</v>
      </c>
      <c r="B14" s="6">
        <v>2030</v>
      </c>
      <c r="C14" s="237" t="s">
        <v>220</v>
      </c>
      <c r="D14" s="237" t="s">
        <v>220</v>
      </c>
      <c r="E14" s="237" t="s">
        <v>220</v>
      </c>
      <c r="F14" s="237" t="s">
        <v>220</v>
      </c>
      <c r="G14" s="169" t="e">
        <f t="shared" si="0"/>
        <v>#VALUE!</v>
      </c>
      <c r="H14" s="170" t="e">
        <f t="shared" si="1"/>
        <v>#VALUE!</v>
      </c>
    </row>
    <row r="15" spans="1:8" ht="24.95" customHeight="1">
      <c r="A15" s="47" t="s">
        <v>109</v>
      </c>
      <c r="B15" s="6">
        <v>2031</v>
      </c>
      <c r="C15" s="237" t="s">
        <v>220</v>
      </c>
      <c r="D15" s="237" t="s">
        <v>220</v>
      </c>
      <c r="E15" s="237" t="s">
        <v>220</v>
      </c>
      <c r="F15" s="237" t="s">
        <v>220</v>
      </c>
      <c r="G15" s="169" t="e">
        <f t="shared" si="0"/>
        <v>#VALUE!</v>
      </c>
      <c r="H15" s="170" t="e">
        <f t="shared" si="1"/>
        <v>#VALUE!</v>
      </c>
    </row>
    <row r="16" spans="1:8" ht="24.95" customHeight="1">
      <c r="A16" s="47" t="s">
        <v>27</v>
      </c>
      <c r="B16" s="6">
        <v>2040</v>
      </c>
      <c r="C16" s="237" t="s">
        <v>220</v>
      </c>
      <c r="D16" s="237" t="s">
        <v>220</v>
      </c>
      <c r="E16" s="237" t="s">
        <v>220</v>
      </c>
      <c r="F16" s="237" t="s">
        <v>220</v>
      </c>
      <c r="G16" s="169" t="e">
        <f t="shared" si="0"/>
        <v>#VALUE!</v>
      </c>
      <c r="H16" s="170" t="e">
        <f t="shared" si="1"/>
        <v>#VALUE!</v>
      </c>
    </row>
    <row r="17" spans="1:9" ht="24.95" customHeight="1">
      <c r="A17" s="47" t="s">
        <v>96</v>
      </c>
      <c r="B17" s="6">
        <v>2050</v>
      </c>
      <c r="C17" s="237" t="s">
        <v>220</v>
      </c>
      <c r="D17" s="237" t="s">
        <v>220</v>
      </c>
      <c r="E17" s="237" t="s">
        <v>220</v>
      </c>
      <c r="F17" s="237" t="s">
        <v>220</v>
      </c>
      <c r="G17" s="169" t="e">
        <f t="shared" si="0"/>
        <v>#VALUE!</v>
      </c>
      <c r="H17" s="170" t="e">
        <f t="shared" si="1"/>
        <v>#VALUE!</v>
      </c>
    </row>
    <row r="18" spans="1:9" ht="24.95" customHeight="1">
      <c r="A18" s="47" t="s">
        <v>97</v>
      </c>
      <c r="B18" s="6">
        <v>2060</v>
      </c>
      <c r="C18" s="237" t="s">
        <v>220</v>
      </c>
      <c r="D18" s="237" t="s">
        <v>220</v>
      </c>
      <c r="E18" s="237" t="s">
        <v>220</v>
      </c>
      <c r="F18" s="237" t="s">
        <v>220</v>
      </c>
      <c r="G18" s="169" t="e">
        <f t="shared" si="0"/>
        <v>#VALUE!</v>
      </c>
      <c r="H18" s="170" t="e">
        <f t="shared" si="1"/>
        <v>#VALUE!</v>
      </c>
    </row>
    <row r="19" spans="1:9" ht="42.75" customHeight="1">
      <c r="A19" s="47" t="s">
        <v>52</v>
      </c>
      <c r="B19" s="6">
        <v>2070</v>
      </c>
      <c r="C19" s="239">
        <f>SUM(C7:C9,C13,C14,C16:C18)</f>
        <v>22.400000000000365</v>
      </c>
      <c r="D19" s="239">
        <f>SUM(D7:D9,D13,D14,D16:D18)</f>
        <v>48.299999999999727</v>
      </c>
      <c r="E19" s="239">
        <f>SUM(E7:E9,E13,E14,E16:E18)</f>
        <v>7.3499999999999091</v>
      </c>
      <c r="F19" s="239">
        <f>SUM(F7:F9,F13,F14,F16:F18)</f>
        <v>-6.5</v>
      </c>
      <c r="G19" s="169">
        <f t="shared" si="0"/>
        <v>-13.849999999999909</v>
      </c>
      <c r="H19" s="170">
        <f t="shared" si="1"/>
        <v>-88.435374149660959</v>
      </c>
    </row>
    <row r="20" spans="1:9" ht="35.1" customHeight="1">
      <c r="A20" s="305" t="s">
        <v>340</v>
      </c>
      <c r="B20" s="305"/>
      <c r="C20" s="305"/>
      <c r="D20" s="305"/>
      <c r="E20" s="305"/>
      <c r="F20" s="305"/>
      <c r="G20" s="305"/>
      <c r="H20" s="305"/>
    </row>
    <row r="21" spans="1:9" s="48" customFormat="1" ht="37.5">
      <c r="A21" s="74" t="s">
        <v>332</v>
      </c>
      <c r="B21" s="146">
        <v>2110</v>
      </c>
      <c r="C21" s="209">
        <f>SUM(C22:C30)</f>
        <v>10.6</v>
      </c>
      <c r="D21" s="209">
        <f>SUM(D22:D30)</f>
        <v>9.3000000000000007</v>
      </c>
      <c r="E21" s="209">
        <f>SUM(E22:E30)</f>
        <v>221.3</v>
      </c>
      <c r="F21" s="209">
        <f>SUM(F22:F30)</f>
        <v>190.5</v>
      </c>
      <c r="G21" s="123">
        <f>F21-E21</f>
        <v>-30.800000000000011</v>
      </c>
      <c r="H21" s="150">
        <f>(F21/E21)*100</f>
        <v>86.082241301400813</v>
      </c>
    </row>
    <row r="22" spans="1:9">
      <c r="A22" s="8" t="s">
        <v>253</v>
      </c>
      <c r="B22" s="6">
        <v>2111</v>
      </c>
      <c r="C22" s="184">
        <v>10.6</v>
      </c>
      <c r="D22" s="184">
        <v>9.3000000000000007</v>
      </c>
      <c r="E22" s="184">
        <v>0</v>
      </c>
      <c r="F22" s="184">
        <v>0</v>
      </c>
      <c r="G22" s="116">
        <f t="shared" ref="G22:G47" si="2">F22-E22</f>
        <v>0</v>
      </c>
      <c r="H22" s="149" t="e">
        <f t="shared" ref="H22:H47" si="3">(F22/E22)*100</f>
        <v>#DIV/0!</v>
      </c>
    </row>
    <row r="23" spans="1:9">
      <c r="A23" s="8" t="s">
        <v>333</v>
      </c>
      <c r="B23" s="6">
        <v>2112</v>
      </c>
      <c r="C23" s="184">
        <v>0</v>
      </c>
      <c r="D23" s="184">
        <v>0</v>
      </c>
      <c r="E23" s="184">
        <v>0</v>
      </c>
      <c r="F23" s="184">
        <v>0</v>
      </c>
      <c r="G23" s="116">
        <f t="shared" si="2"/>
        <v>0</v>
      </c>
      <c r="H23" s="149" t="e">
        <f t="shared" si="3"/>
        <v>#DIV/0!</v>
      </c>
    </row>
    <row r="24" spans="1:9" s="48" customFormat="1" ht="18.75" customHeight="1">
      <c r="A24" s="47" t="s">
        <v>334</v>
      </c>
      <c r="B24" s="53">
        <v>2113</v>
      </c>
      <c r="C24" s="184" t="s">
        <v>220</v>
      </c>
      <c r="D24" s="184" t="s">
        <v>220</v>
      </c>
      <c r="E24" s="184" t="s">
        <v>220</v>
      </c>
      <c r="F24" s="184" t="s">
        <v>220</v>
      </c>
      <c r="G24" s="116" t="e">
        <f t="shared" si="2"/>
        <v>#VALUE!</v>
      </c>
      <c r="H24" s="149" t="e">
        <f t="shared" si="3"/>
        <v>#VALUE!</v>
      </c>
    </row>
    <row r="25" spans="1:9">
      <c r="A25" s="47" t="s">
        <v>73</v>
      </c>
      <c r="B25" s="53">
        <v>2114</v>
      </c>
      <c r="C25" s="184" t="s">
        <v>220</v>
      </c>
      <c r="D25" s="184" t="s">
        <v>220</v>
      </c>
      <c r="E25" s="184" t="s">
        <v>220</v>
      </c>
      <c r="F25" s="184" t="s">
        <v>220</v>
      </c>
      <c r="G25" s="116" t="e">
        <f t="shared" si="2"/>
        <v>#VALUE!</v>
      </c>
      <c r="H25" s="149" t="e">
        <f t="shared" si="3"/>
        <v>#VALUE!</v>
      </c>
    </row>
    <row r="26" spans="1:9" ht="37.5">
      <c r="A26" s="47" t="s">
        <v>335</v>
      </c>
      <c r="B26" s="53">
        <v>2115</v>
      </c>
      <c r="C26" s="184" t="s">
        <v>220</v>
      </c>
      <c r="D26" s="184" t="s">
        <v>220</v>
      </c>
      <c r="E26" s="184" t="s">
        <v>220</v>
      </c>
      <c r="F26" s="184" t="s">
        <v>220</v>
      </c>
      <c r="G26" s="116" t="e">
        <f t="shared" si="2"/>
        <v>#VALUE!</v>
      </c>
      <c r="H26" s="149" t="e">
        <f t="shared" si="3"/>
        <v>#VALUE!</v>
      </c>
    </row>
    <row r="27" spans="1:9" s="50" customFormat="1">
      <c r="A27" s="47" t="s">
        <v>88</v>
      </c>
      <c r="B27" s="53">
        <v>2116</v>
      </c>
      <c r="C27" s="184" t="s">
        <v>220</v>
      </c>
      <c r="D27" s="184" t="s">
        <v>220</v>
      </c>
      <c r="E27" s="184" t="s">
        <v>220</v>
      </c>
      <c r="F27" s="184" t="s">
        <v>220</v>
      </c>
      <c r="G27" s="116" t="e">
        <f t="shared" si="2"/>
        <v>#VALUE!</v>
      </c>
      <c r="H27" s="149" t="e">
        <f t="shared" si="3"/>
        <v>#VALUE!</v>
      </c>
      <c r="I27" s="46"/>
    </row>
    <row r="28" spans="1:9" ht="20.100000000000001" customHeight="1">
      <c r="A28" s="47" t="s">
        <v>355</v>
      </c>
      <c r="B28" s="53">
        <v>2117</v>
      </c>
      <c r="C28" s="184"/>
      <c r="D28" s="184" t="s">
        <v>220</v>
      </c>
      <c r="E28" s="184" t="s">
        <v>220</v>
      </c>
      <c r="F28" s="184" t="s">
        <v>220</v>
      </c>
      <c r="G28" s="116" t="e">
        <f t="shared" si="2"/>
        <v>#VALUE!</v>
      </c>
      <c r="H28" s="149" t="e">
        <f t="shared" si="3"/>
        <v>#VALUE!</v>
      </c>
    </row>
    <row r="29" spans="1:9" ht="20.100000000000001" customHeight="1">
      <c r="A29" s="47" t="s">
        <v>72</v>
      </c>
      <c r="B29" s="53">
        <v>2118</v>
      </c>
      <c r="C29" s="184">
        <v>0</v>
      </c>
      <c r="D29" s="184">
        <v>0</v>
      </c>
      <c r="E29" s="184">
        <v>221.3</v>
      </c>
      <c r="F29" s="184">
        <v>190.5</v>
      </c>
      <c r="G29" s="116">
        <f t="shared" si="2"/>
        <v>-30.800000000000011</v>
      </c>
      <c r="H29" s="149">
        <f t="shared" si="3"/>
        <v>86.082241301400813</v>
      </c>
    </row>
    <row r="30" spans="1:9" ht="20.100000000000001" customHeight="1">
      <c r="A30" s="47" t="s">
        <v>341</v>
      </c>
      <c r="B30" s="53">
        <v>2119</v>
      </c>
      <c r="C30" s="184">
        <f>C31+C32</f>
        <v>0</v>
      </c>
      <c r="D30" s="184">
        <f>D31+D32</f>
        <v>0</v>
      </c>
      <c r="E30" s="184">
        <f>E31+E32</f>
        <v>0</v>
      </c>
      <c r="F30" s="184">
        <f>F31+F32</f>
        <v>0</v>
      </c>
      <c r="G30" s="116">
        <f t="shared" si="2"/>
        <v>0</v>
      </c>
      <c r="H30" s="149" t="e">
        <f t="shared" si="3"/>
        <v>#DIV/0!</v>
      </c>
    </row>
    <row r="31" spans="1:9" ht="20.100000000000001" customHeight="1">
      <c r="A31" s="47" t="s">
        <v>489</v>
      </c>
      <c r="B31" s="53" t="s">
        <v>488</v>
      </c>
      <c r="C31" s="184">
        <v>0</v>
      </c>
      <c r="D31" s="184">
        <v>0</v>
      </c>
      <c r="E31" s="184">
        <v>0</v>
      </c>
      <c r="F31" s="184">
        <v>0</v>
      </c>
      <c r="G31" s="116">
        <f t="shared" si="2"/>
        <v>0</v>
      </c>
      <c r="H31" s="149" t="e">
        <f t="shared" si="3"/>
        <v>#DIV/0!</v>
      </c>
    </row>
    <row r="32" spans="1:9" ht="20.100000000000001" hidden="1" customHeight="1">
      <c r="A32" s="47" t="s">
        <v>490</v>
      </c>
      <c r="B32" s="53" t="s">
        <v>532</v>
      </c>
      <c r="C32" s="184"/>
      <c r="D32" s="184">
        <v>0</v>
      </c>
      <c r="E32" s="184">
        <v>0</v>
      </c>
      <c r="F32" s="184">
        <v>0</v>
      </c>
      <c r="G32" s="116">
        <f t="shared" si="2"/>
        <v>0</v>
      </c>
      <c r="H32" s="149" t="e">
        <f t="shared" si="3"/>
        <v>#DIV/0!</v>
      </c>
    </row>
    <row r="33" spans="1:8" s="48" customFormat="1" ht="37.5">
      <c r="A33" s="74" t="s">
        <v>342</v>
      </c>
      <c r="B33" s="60">
        <v>2120</v>
      </c>
      <c r="C33" s="209">
        <f>SUM(C34:C37)</f>
        <v>281.10000000000002</v>
      </c>
      <c r="D33" s="209">
        <f>SUM(D34:D37)</f>
        <v>131.6</v>
      </c>
      <c r="E33" s="209">
        <f>SUM(E34:E37)</f>
        <v>0</v>
      </c>
      <c r="F33" s="209">
        <f>SUM(F34:F37)</f>
        <v>0</v>
      </c>
      <c r="G33" s="123">
        <f t="shared" si="2"/>
        <v>0</v>
      </c>
      <c r="H33" s="150" t="e">
        <f t="shared" si="3"/>
        <v>#DIV/0!</v>
      </c>
    </row>
    <row r="34" spans="1:8" ht="20.100000000000001" customHeight="1">
      <c r="A34" s="47" t="s">
        <v>72</v>
      </c>
      <c r="B34" s="53">
        <v>2121</v>
      </c>
      <c r="C34" s="184">
        <v>281.10000000000002</v>
      </c>
      <c r="D34" s="184">
        <v>131.6</v>
      </c>
      <c r="E34" s="184"/>
      <c r="F34" s="184"/>
      <c r="G34" s="116">
        <f t="shared" si="2"/>
        <v>0</v>
      </c>
      <c r="H34" s="149" t="e">
        <f t="shared" si="3"/>
        <v>#DIV/0!</v>
      </c>
    </row>
    <row r="35" spans="1:8" ht="20.100000000000001" customHeight="1">
      <c r="A35" s="47" t="s">
        <v>343</v>
      </c>
      <c r="B35" s="53">
        <v>2122</v>
      </c>
      <c r="C35" s="184">
        <v>0</v>
      </c>
      <c r="D35" s="184"/>
      <c r="E35" s="184"/>
      <c r="F35" s="184"/>
      <c r="G35" s="116">
        <f t="shared" si="2"/>
        <v>0</v>
      </c>
      <c r="H35" s="149" t="e">
        <f t="shared" si="3"/>
        <v>#DIV/0!</v>
      </c>
    </row>
    <row r="36" spans="1:8" ht="20.100000000000001" customHeight="1">
      <c r="A36" s="47" t="s">
        <v>344</v>
      </c>
      <c r="B36" s="53">
        <v>2123</v>
      </c>
      <c r="C36" s="184">
        <v>0</v>
      </c>
      <c r="D36" s="184">
        <v>0</v>
      </c>
      <c r="E36" s="184">
        <v>0</v>
      </c>
      <c r="F36" s="184">
        <v>0</v>
      </c>
      <c r="G36" s="116">
        <f t="shared" si="2"/>
        <v>0</v>
      </c>
      <c r="H36" s="149" t="e">
        <f t="shared" si="3"/>
        <v>#DIV/0!</v>
      </c>
    </row>
    <row r="37" spans="1:8" s="48" customFormat="1">
      <c r="A37" s="47" t="s">
        <v>533</v>
      </c>
      <c r="B37" s="53">
        <v>2124</v>
      </c>
      <c r="C37" s="184"/>
      <c r="D37" s="184"/>
      <c r="E37" s="184"/>
      <c r="F37" s="184"/>
      <c r="G37" s="116">
        <f t="shared" si="2"/>
        <v>0</v>
      </c>
      <c r="H37" s="149" t="e">
        <f t="shared" si="3"/>
        <v>#DIV/0!</v>
      </c>
    </row>
    <row r="38" spans="1:8" s="48" customFormat="1" ht="36" customHeight="1">
      <c r="A38" s="74" t="s">
        <v>345</v>
      </c>
      <c r="B38" s="60">
        <v>2130</v>
      </c>
      <c r="C38" s="209">
        <f>SUM(C39:C42)</f>
        <v>363.4</v>
      </c>
      <c r="D38" s="209">
        <f>SUM(D39:D42)</f>
        <v>172.7</v>
      </c>
      <c r="E38" s="209">
        <f>SUM(E39:E42)</f>
        <v>288.89999999999998</v>
      </c>
      <c r="F38" s="209">
        <f>SUM(F39:F42)</f>
        <v>255.4</v>
      </c>
      <c r="G38" s="123">
        <f t="shared" si="2"/>
        <v>-33.499999999999972</v>
      </c>
      <c r="H38" s="150">
        <f t="shared" si="3"/>
        <v>88.404292142609904</v>
      </c>
    </row>
    <row r="39" spans="1:8" ht="60.75" customHeight="1">
      <c r="A39" s="47" t="s">
        <v>434</v>
      </c>
      <c r="B39" s="53">
        <v>2131</v>
      </c>
      <c r="C39" s="184">
        <v>0</v>
      </c>
      <c r="D39" s="184">
        <v>0</v>
      </c>
      <c r="E39" s="184">
        <v>0</v>
      </c>
      <c r="F39" s="184">
        <v>0</v>
      </c>
      <c r="G39" s="116">
        <f t="shared" si="2"/>
        <v>0</v>
      </c>
      <c r="H39" s="149" t="e">
        <f t="shared" si="3"/>
        <v>#DIV/0!</v>
      </c>
    </row>
    <row r="40" spans="1:8" s="48" customFormat="1" ht="20.100000000000001" customHeight="1">
      <c r="A40" s="47" t="s">
        <v>346</v>
      </c>
      <c r="B40" s="53">
        <v>2132</v>
      </c>
      <c r="C40" s="184">
        <v>0</v>
      </c>
      <c r="D40" s="184">
        <v>0</v>
      </c>
      <c r="E40" s="184">
        <v>0</v>
      </c>
      <c r="F40" s="184">
        <v>0</v>
      </c>
      <c r="G40" s="116">
        <f t="shared" si="2"/>
        <v>0</v>
      </c>
      <c r="H40" s="149" t="e">
        <f t="shared" si="3"/>
        <v>#DIV/0!</v>
      </c>
    </row>
    <row r="41" spans="1:8" ht="20.100000000000001" customHeight="1">
      <c r="A41" s="47" t="s">
        <v>347</v>
      </c>
      <c r="B41" s="53">
        <v>2133</v>
      </c>
      <c r="C41" s="184">
        <v>339.7</v>
      </c>
      <c r="D41" s="184">
        <v>161.5</v>
      </c>
      <c r="E41" s="184">
        <v>270.5</v>
      </c>
      <c r="F41" s="184">
        <v>240.1</v>
      </c>
      <c r="G41" s="116">
        <f t="shared" si="2"/>
        <v>-30.400000000000006</v>
      </c>
      <c r="H41" s="149">
        <f t="shared" si="3"/>
        <v>88.761552680221811</v>
      </c>
    </row>
    <row r="42" spans="1:8" ht="20.100000000000001" customHeight="1">
      <c r="A42" s="47" t="s">
        <v>348</v>
      </c>
      <c r="B42" s="53">
        <v>2134</v>
      </c>
      <c r="C42" s="184">
        <f>C43</f>
        <v>23.7</v>
      </c>
      <c r="D42" s="184">
        <f>D43</f>
        <v>11.2</v>
      </c>
      <c r="E42" s="184">
        <f>E43</f>
        <v>18.399999999999999</v>
      </c>
      <c r="F42" s="184">
        <f>F43</f>
        <v>15.3</v>
      </c>
      <c r="G42" s="116">
        <f t="shared" si="2"/>
        <v>-3.0999999999999979</v>
      </c>
      <c r="H42" s="149">
        <f t="shared" si="3"/>
        <v>83.152173913043498</v>
      </c>
    </row>
    <row r="43" spans="1:8" ht="20.100000000000001" customHeight="1">
      <c r="A43" s="47" t="s">
        <v>489</v>
      </c>
      <c r="B43" s="53" t="s">
        <v>514</v>
      </c>
      <c r="C43" s="184">
        <v>23.7</v>
      </c>
      <c r="D43" s="184">
        <v>11.2</v>
      </c>
      <c r="E43" s="184">
        <v>18.399999999999999</v>
      </c>
      <c r="F43" s="184">
        <v>15.3</v>
      </c>
      <c r="G43" s="116">
        <f t="shared" si="2"/>
        <v>-3.0999999999999979</v>
      </c>
      <c r="H43" s="149"/>
    </row>
    <row r="44" spans="1:8" s="48" customFormat="1" ht="20.100000000000001" customHeight="1">
      <c r="A44" s="74" t="s">
        <v>349</v>
      </c>
      <c r="B44" s="60">
        <v>2140</v>
      </c>
      <c r="C44" s="209">
        <f>SUM(C45:C46)</f>
        <v>0</v>
      </c>
      <c r="D44" s="209">
        <f>SUM(D45:D46)</f>
        <v>0</v>
      </c>
      <c r="E44" s="209">
        <f>SUM(E45:E46)</f>
        <v>0</v>
      </c>
      <c r="F44" s="209">
        <f>SUM(F45:F46)</f>
        <v>0</v>
      </c>
      <c r="G44" s="123">
        <f t="shared" si="2"/>
        <v>0</v>
      </c>
      <c r="H44" s="150" t="e">
        <f t="shared" si="3"/>
        <v>#DIV/0!</v>
      </c>
    </row>
    <row r="45" spans="1:8" ht="37.5">
      <c r="A45" s="47" t="s">
        <v>110</v>
      </c>
      <c r="B45" s="53">
        <v>2141</v>
      </c>
      <c r="C45" s="184">
        <v>0</v>
      </c>
      <c r="D45" s="184">
        <v>0</v>
      </c>
      <c r="E45" s="184">
        <v>0</v>
      </c>
      <c r="F45" s="184">
        <v>0</v>
      </c>
      <c r="G45" s="116">
        <f t="shared" si="2"/>
        <v>0</v>
      </c>
      <c r="H45" s="149" t="e">
        <f t="shared" si="3"/>
        <v>#DIV/0!</v>
      </c>
    </row>
    <row r="46" spans="1:8" s="48" customFormat="1" ht="20.100000000000001" customHeight="1">
      <c r="A46" s="47" t="s">
        <v>350</v>
      </c>
      <c r="B46" s="53">
        <v>2142</v>
      </c>
      <c r="C46" s="184">
        <v>0</v>
      </c>
      <c r="D46" s="184"/>
      <c r="E46" s="184"/>
      <c r="F46" s="184"/>
      <c r="G46" s="116">
        <f t="shared" si="2"/>
        <v>0</v>
      </c>
      <c r="H46" s="149" t="e">
        <f t="shared" si="3"/>
        <v>#DIV/0!</v>
      </c>
    </row>
    <row r="47" spans="1:8" s="48" customFormat="1" ht="21.75" customHeight="1">
      <c r="A47" s="74" t="s">
        <v>339</v>
      </c>
      <c r="B47" s="60">
        <v>2200</v>
      </c>
      <c r="C47" s="209">
        <f>SUM(C21,C33,C38,C44)</f>
        <v>655.1</v>
      </c>
      <c r="D47" s="209">
        <f>SUM(D21,D33,D38,D44)</f>
        <v>313.60000000000002</v>
      </c>
      <c r="E47" s="209">
        <f>SUM(E21,E33,E38,E44)</f>
        <v>510.2</v>
      </c>
      <c r="F47" s="209">
        <f>SUM(F21,F33,F38,F44)</f>
        <v>445.9</v>
      </c>
      <c r="G47" s="123">
        <f t="shared" si="2"/>
        <v>-64.300000000000011</v>
      </c>
      <c r="H47" s="150">
        <f t="shared" si="3"/>
        <v>87.397099176793418</v>
      </c>
    </row>
    <row r="48" spans="1:8" s="48" customFormat="1" hidden="1">
      <c r="A48" s="70"/>
      <c r="B48" s="49"/>
      <c r="C48" s="49"/>
      <c r="D48" s="49"/>
      <c r="E48" s="49"/>
      <c r="F48" s="49"/>
      <c r="G48" s="49"/>
      <c r="H48" s="49"/>
    </row>
    <row r="49" spans="1:10" s="48" customFormat="1">
      <c r="A49" s="70"/>
      <c r="B49" s="49"/>
      <c r="C49" s="49"/>
      <c r="D49" s="49"/>
      <c r="E49" s="49"/>
      <c r="F49" s="49"/>
      <c r="G49" s="49"/>
      <c r="H49" s="49"/>
    </row>
    <row r="50" spans="1:10" s="48" customFormat="1" ht="34.5" customHeight="1">
      <c r="A50" s="27" t="s">
        <v>557</v>
      </c>
      <c r="B50" s="49"/>
      <c r="C50" s="49" t="s">
        <v>586</v>
      </c>
      <c r="D50" s="49"/>
      <c r="E50" s="49"/>
      <c r="F50" s="308" t="s">
        <v>587</v>
      </c>
      <c r="G50" s="309"/>
      <c r="H50" s="49"/>
    </row>
    <row r="51" spans="1:10" s="3" customFormat="1" ht="34.5" customHeight="1">
      <c r="A51" s="27" t="s">
        <v>585</v>
      </c>
      <c r="B51" s="1"/>
      <c r="C51" s="306" t="s">
        <v>559</v>
      </c>
      <c r="D51" s="306"/>
      <c r="E51" s="83"/>
      <c r="F51" s="290" t="s">
        <v>558</v>
      </c>
      <c r="G51" s="290"/>
      <c r="H51" s="290"/>
    </row>
    <row r="52" spans="1:10" s="2" customFormat="1">
      <c r="A52" s="78"/>
      <c r="B52" s="3"/>
      <c r="C52" s="266"/>
      <c r="D52" s="266"/>
      <c r="E52" s="3"/>
      <c r="F52" s="304"/>
      <c r="G52" s="304"/>
      <c r="H52" s="304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  <row r="199" spans="1:10" s="49" customFormat="1">
      <c r="A199" s="62"/>
      <c r="I199" s="46"/>
      <c r="J199" s="46"/>
    </row>
    <row r="200" spans="1:10" s="49" customFormat="1">
      <c r="A200" s="62"/>
      <c r="I200" s="46"/>
      <c r="J200" s="46"/>
    </row>
    <row r="201" spans="1:10" s="49" customFormat="1">
      <c r="A201" s="62"/>
      <c r="I201" s="46"/>
      <c r="J201" s="46"/>
    </row>
    <row r="202" spans="1:10" s="49" customFormat="1">
      <c r="A202" s="62"/>
      <c r="I202" s="46"/>
      <c r="J202" s="46"/>
    </row>
  </sheetData>
  <mergeCells count="13">
    <mergeCell ref="C3:D3"/>
    <mergeCell ref="E3:H3"/>
    <mergeCell ref="A1:H1"/>
    <mergeCell ref="C52:D52"/>
    <mergeCell ref="F52:H52"/>
    <mergeCell ref="A6:H6"/>
    <mergeCell ref="A20:H20"/>
    <mergeCell ref="C51:D51"/>
    <mergeCell ref="F51:H51"/>
    <mergeCell ref="A2:H2"/>
    <mergeCell ref="A3:A4"/>
    <mergeCell ref="B3:B4"/>
    <mergeCell ref="F50:G50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54" fitToHeight="2" orientation="landscape" verticalDpi="300" r:id="rId1"/>
  <headerFooter alignWithMargins="0">
    <oddHeader>&amp;C
7&amp;R
&amp;"Times New Roman,обычный"&amp;14Продовження додатка 3
Таблиця 2</oddHeader>
  </headerFooter>
  <rowBreaks count="1" manualBreakCount="1">
    <brk id="29" max="6" man="1"/>
  </rowBreaks>
  <ignoredErrors>
    <ignoredError sqref="H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93"/>
  <sheetViews>
    <sheetView tabSelected="1" view="pageBreakPreview" topLeftCell="A30" zoomScale="75" zoomScaleNormal="70" zoomScaleSheetLayoutView="75" workbookViewId="0">
      <selection activeCell="T41" sqref="T41"/>
    </sheetView>
  </sheetViews>
  <sheetFormatPr defaultRowHeight="18.75"/>
  <cols>
    <col min="1" max="1" width="88" style="2" customWidth="1"/>
    <col min="2" max="2" width="16.5703125" style="2" customWidth="1"/>
    <col min="3" max="3" width="15.140625" style="2" customWidth="1"/>
    <col min="4" max="4" width="21.140625" style="2" customWidth="1"/>
    <col min="5" max="5" width="16.7109375" style="2" customWidth="1"/>
    <col min="6" max="6" width="21.5703125" style="2" customWidth="1"/>
    <col min="7" max="7" width="20.42578125" style="2" customWidth="1"/>
    <col min="8" max="8" width="17.140625" style="2" customWidth="1"/>
    <col min="9" max="13" width="9.140625" style="2"/>
    <col min="14" max="14" width="12.28515625" style="2" bestFit="1" customWidth="1"/>
    <col min="15" max="16384" width="9.140625" style="2"/>
  </cols>
  <sheetData>
    <row r="1" spans="1:8">
      <c r="A1" s="281" t="s">
        <v>261</v>
      </c>
      <c r="B1" s="281"/>
      <c r="C1" s="281"/>
      <c r="D1" s="281"/>
      <c r="E1" s="281"/>
      <c r="F1" s="281"/>
      <c r="G1" s="281"/>
      <c r="H1" s="281"/>
    </row>
    <row r="2" spans="1:8">
      <c r="A2" s="21"/>
      <c r="B2" s="21"/>
      <c r="C2" s="21"/>
      <c r="D2" s="21"/>
      <c r="E2" s="21"/>
      <c r="F2" s="21"/>
      <c r="G2" s="21"/>
      <c r="H2" s="21"/>
    </row>
    <row r="3" spans="1:8" ht="48" customHeight="1">
      <c r="A3" s="283" t="s">
        <v>189</v>
      </c>
      <c r="B3" s="310" t="s">
        <v>0</v>
      </c>
      <c r="C3" s="283" t="s">
        <v>319</v>
      </c>
      <c r="D3" s="283"/>
      <c r="E3" s="285" t="s">
        <v>453</v>
      </c>
      <c r="F3" s="285"/>
      <c r="G3" s="285"/>
      <c r="H3" s="285"/>
    </row>
    <row r="4" spans="1:8" ht="38.25" customHeight="1">
      <c r="A4" s="283"/>
      <c r="B4" s="310"/>
      <c r="C4" s="7" t="s">
        <v>176</v>
      </c>
      <c r="D4" s="7" t="s">
        <v>177</v>
      </c>
      <c r="E4" s="7" t="s">
        <v>178</v>
      </c>
      <c r="F4" s="7" t="s">
        <v>166</v>
      </c>
      <c r="G4" s="73" t="s">
        <v>184</v>
      </c>
      <c r="H4" s="73" t="s">
        <v>185</v>
      </c>
    </row>
    <row r="5" spans="1:8">
      <c r="A5" s="73">
        <v>1</v>
      </c>
      <c r="B5" s="135">
        <v>2</v>
      </c>
      <c r="C5" s="73">
        <v>3</v>
      </c>
      <c r="D5" s="135">
        <v>4</v>
      </c>
      <c r="E5" s="73">
        <v>5</v>
      </c>
      <c r="F5" s="135">
        <v>6</v>
      </c>
      <c r="G5" s="73">
        <v>7</v>
      </c>
      <c r="H5" s="135">
        <v>8</v>
      </c>
    </row>
    <row r="6" spans="1:8" ht="24.75" customHeight="1">
      <c r="A6" s="157" t="s">
        <v>269</v>
      </c>
      <c r="B6" s="137"/>
      <c r="C6" s="137"/>
      <c r="D6" s="137"/>
      <c r="E6" s="137"/>
      <c r="F6" s="137"/>
      <c r="G6" s="137"/>
      <c r="H6" s="138"/>
    </row>
    <row r="7" spans="1:8" s="61" customFormat="1" ht="24.95" customHeight="1">
      <c r="A7" s="147" t="s">
        <v>389</v>
      </c>
      <c r="B7" s="136">
        <v>3000</v>
      </c>
      <c r="C7" s="209">
        <f>SUM(C8:C9,C11,C15,C16,C20)</f>
        <v>2101.5</v>
      </c>
      <c r="D7" s="209">
        <f>SUM(D8:D9,D11,D15,D16,D20)</f>
        <v>2504.7000000000003</v>
      </c>
      <c r="E7" s="209">
        <f>SUM(E8:E9,E11,E15,E16,E20)</f>
        <v>1639.9</v>
      </c>
      <c r="F7" s="209">
        <f>SUM(F8:F9,F11,F15,F16,F20)</f>
        <v>1329.3</v>
      </c>
      <c r="G7" s="123">
        <f>F7-E7</f>
        <v>-310.60000000000014</v>
      </c>
      <c r="H7" s="198">
        <f>(F7/E7)*100</f>
        <v>81.059820720775662</v>
      </c>
    </row>
    <row r="8" spans="1:8" ht="18" customHeight="1">
      <c r="A8" s="8" t="s">
        <v>370</v>
      </c>
      <c r="B8" s="9">
        <v>3010</v>
      </c>
      <c r="C8" s="184">
        <v>43.9</v>
      </c>
      <c r="D8" s="184">
        <v>90.2</v>
      </c>
      <c r="E8" s="184">
        <v>40</v>
      </c>
      <c r="F8" s="184">
        <v>0</v>
      </c>
      <c r="G8" s="116">
        <f>F8-E8</f>
        <v>-40</v>
      </c>
      <c r="H8" s="199">
        <f>(F8/E8)*100</f>
        <v>0</v>
      </c>
    </row>
    <row r="9" spans="1:8" ht="18" customHeight="1">
      <c r="A9" s="8" t="s">
        <v>262</v>
      </c>
      <c r="B9" s="9">
        <v>3020</v>
      </c>
      <c r="C9" s="184">
        <v>0</v>
      </c>
      <c r="D9" s="184">
        <v>0</v>
      </c>
      <c r="E9" s="184">
        <v>0</v>
      </c>
      <c r="F9" s="184">
        <v>0</v>
      </c>
      <c r="G9" s="116">
        <f t="shared" ref="G9:G25" si="0">F9-E9</f>
        <v>0</v>
      </c>
      <c r="H9" s="199" t="e">
        <f t="shared" ref="H9:H25" si="1">(F9/E9)*100</f>
        <v>#DIV/0!</v>
      </c>
    </row>
    <row r="10" spans="1:8" ht="18" customHeight="1">
      <c r="A10" s="8" t="s">
        <v>263</v>
      </c>
      <c r="B10" s="9">
        <v>3030</v>
      </c>
      <c r="C10" s="184">
        <v>0</v>
      </c>
      <c r="D10" s="184">
        <v>0</v>
      </c>
      <c r="E10" s="184">
        <v>0</v>
      </c>
      <c r="F10" s="184">
        <v>0</v>
      </c>
      <c r="G10" s="116">
        <f t="shared" si="0"/>
        <v>0</v>
      </c>
      <c r="H10" s="199" t="e">
        <f t="shared" si="1"/>
        <v>#DIV/0!</v>
      </c>
    </row>
    <row r="11" spans="1:8" ht="18" customHeight="1">
      <c r="A11" s="8" t="s">
        <v>390</v>
      </c>
      <c r="B11" s="9">
        <v>3040</v>
      </c>
      <c r="C11" s="184">
        <f>C12+C13+C14</f>
        <v>2056.1</v>
      </c>
      <c r="D11" s="184">
        <f>D12+D13+D14</f>
        <v>2393.6000000000004</v>
      </c>
      <c r="E11" s="184">
        <f>E12+E13+E14</f>
        <v>1499.9</v>
      </c>
      <c r="F11" s="184">
        <f>F12+F13+F14</f>
        <v>1320.7</v>
      </c>
      <c r="G11" s="116">
        <f t="shared" si="0"/>
        <v>-179.20000000000005</v>
      </c>
      <c r="H11" s="199">
        <f t="shared" si="1"/>
        <v>88.052536835789056</v>
      </c>
    </row>
    <row r="12" spans="1:8" ht="18" customHeight="1">
      <c r="A12" s="8" t="s">
        <v>492</v>
      </c>
      <c r="B12" s="9" t="s">
        <v>491</v>
      </c>
      <c r="C12" s="184">
        <v>2056.1</v>
      </c>
      <c r="D12" s="184">
        <f>1072.9+1320.7</f>
        <v>2393.6000000000004</v>
      </c>
      <c r="E12" s="184">
        <v>1499.9</v>
      </c>
      <c r="F12" s="184">
        <f>1320.7</f>
        <v>1320.7</v>
      </c>
      <c r="G12" s="116">
        <f t="shared" si="0"/>
        <v>-179.20000000000005</v>
      </c>
      <c r="H12" s="199">
        <f t="shared" si="1"/>
        <v>88.052536835789056</v>
      </c>
    </row>
    <row r="13" spans="1:8" ht="18" hidden="1" customHeight="1">
      <c r="A13" s="8" t="s">
        <v>528</v>
      </c>
      <c r="B13" s="9" t="s">
        <v>530</v>
      </c>
      <c r="C13" s="184"/>
      <c r="D13" s="184"/>
      <c r="E13" s="184"/>
      <c r="F13" s="184"/>
      <c r="G13" s="116">
        <f t="shared" si="0"/>
        <v>0</v>
      </c>
      <c r="H13" s="199" t="e">
        <f t="shared" si="1"/>
        <v>#DIV/0!</v>
      </c>
    </row>
    <row r="14" spans="1:8" ht="18" hidden="1" customHeight="1">
      <c r="A14" s="8" t="s">
        <v>529</v>
      </c>
      <c r="B14" s="9" t="s">
        <v>531</v>
      </c>
      <c r="C14" s="184"/>
      <c r="D14" s="184"/>
      <c r="E14" s="184"/>
      <c r="F14" s="184"/>
      <c r="G14" s="116">
        <f t="shared" si="0"/>
        <v>0</v>
      </c>
      <c r="H14" s="199" t="e">
        <f t="shared" si="1"/>
        <v>#DIV/0!</v>
      </c>
    </row>
    <row r="15" spans="1:8" ht="18" customHeight="1">
      <c r="A15" s="8" t="s">
        <v>249</v>
      </c>
      <c r="B15" s="9">
        <v>3050</v>
      </c>
      <c r="C15" s="184"/>
      <c r="D15" s="184"/>
      <c r="E15" s="184"/>
      <c r="F15" s="184"/>
      <c r="G15" s="116">
        <f t="shared" si="0"/>
        <v>0</v>
      </c>
      <c r="H15" s="199" t="e">
        <f t="shared" si="1"/>
        <v>#DIV/0!</v>
      </c>
    </row>
    <row r="16" spans="1:8" ht="20.100000000000001" customHeight="1">
      <c r="A16" s="8" t="s">
        <v>80</v>
      </c>
      <c r="B16" s="9">
        <v>3060</v>
      </c>
      <c r="C16" s="225">
        <f>SUM(C17:C19)</f>
        <v>0</v>
      </c>
      <c r="D16" s="225">
        <f>SUM(D17:D19)</f>
        <v>0</v>
      </c>
      <c r="E16" s="225">
        <f>SUM(E17:E19)</f>
        <v>0</v>
      </c>
      <c r="F16" s="225">
        <f>SUM(F17:F19)</f>
        <v>0</v>
      </c>
      <c r="G16" s="116">
        <f t="shared" si="0"/>
        <v>0</v>
      </c>
      <c r="H16" s="199" t="e">
        <f t="shared" si="1"/>
        <v>#DIV/0!</v>
      </c>
    </row>
    <row r="17" spans="1:14" ht="18" customHeight="1">
      <c r="A17" s="8" t="s">
        <v>78</v>
      </c>
      <c r="B17" s="6">
        <v>3061</v>
      </c>
      <c r="C17" s="184">
        <v>0</v>
      </c>
      <c r="D17" s="184">
        <v>0</v>
      </c>
      <c r="E17" s="184">
        <v>0</v>
      </c>
      <c r="F17" s="184">
        <v>0</v>
      </c>
      <c r="G17" s="116">
        <f t="shared" si="0"/>
        <v>0</v>
      </c>
      <c r="H17" s="199" t="e">
        <f t="shared" si="1"/>
        <v>#DIV/0!</v>
      </c>
    </row>
    <row r="18" spans="1:14" ht="18" customHeight="1">
      <c r="A18" s="8" t="s">
        <v>81</v>
      </c>
      <c r="B18" s="6">
        <v>3062</v>
      </c>
      <c r="C18" s="184">
        <v>0</v>
      </c>
      <c r="D18" s="184">
        <v>0</v>
      </c>
      <c r="E18" s="184">
        <v>0</v>
      </c>
      <c r="F18" s="184">
        <v>0</v>
      </c>
      <c r="G18" s="116">
        <f t="shared" si="0"/>
        <v>0</v>
      </c>
      <c r="H18" s="199" t="e">
        <f t="shared" si="1"/>
        <v>#DIV/0!</v>
      </c>
    </row>
    <row r="19" spans="1:14" ht="17.25" customHeight="1">
      <c r="A19" s="8" t="s">
        <v>99</v>
      </c>
      <c r="B19" s="6">
        <v>3063</v>
      </c>
      <c r="C19" s="184">
        <v>0</v>
      </c>
      <c r="D19" s="184">
        <v>0</v>
      </c>
      <c r="E19" s="184">
        <v>0</v>
      </c>
      <c r="F19" s="184">
        <v>0</v>
      </c>
      <c r="G19" s="116">
        <f t="shared" si="0"/>
        <v>0</v>
      </c>
      <c r="H19" s="199" t="e">
        <f t="shared" si="1"/>
        <v>#DIV/0!</v>
      </c>
    </row>
    <row r="20" spans="1:14" ht="18" customHeight="1">
      <c r="A20" s="8" t="s">
        <v>371</v>
      </c>
      <c r="B20" s="9">
        <v>3070</v>
      </c>
      <c r="C20" s="184">
        <f>SUM(C21:C22)</f>
        <v>1.5</v>
      </c>
      <c r="D20" s="184">
        <f>SUM(D21:D24)</f>
        <v>20.9</v>
      </c>
      <c r="E20" s="184">
        <f>SUM(E21:E22)</f>
        <v>100</v>
      </c>
      <c r="F20" s="184">
        <f>SUM(F21:F24)</f>
        <v>8.6</v>
      </c>
      <c r="G20" s="116">
        <f t="shared" si="0"/>
        <v>-91.4</v>
      </c>
      <c r="H20" s="199">
        <f t="shared" si="1"/>
        <v>8.6</v>
      </c>
    </row>
    <row r="21" spans="1:14" ht="18" customHeight="1">
      <c r="A21" s="8" t="s">
        <v>560</v>
      </c>
      <c r="B21" s="9" t="s">
        <v>493</v>
      </c>
      <c r="C21" s="184">
        <v>0</v>
      </c>
      <c r="D21" s="184">
        <v>0</v>
      </c>
      <c r="E21" s="184">
        <v>100</v>
      </c>
      <c r="F21" s="184">
        <v>0</v>
      </c>
      <c r="G21" s="116">
        <f t="shared" si="0"/>
        <v>-100</v>
      </c>
      <c r="H21" s="199">
        <f t="shared" si="1"/>
        <v>0</v>
      </c>
    </row>
    <row r="22" spans="1:14" ht="18" customHeight="1">
      <c r="A22" s="8" t="s">
        <v>519</v>
      </c>
      <c r="B22" s="9" t="s">
        <v>494</v>
      </c>
      <c r="C22" s="184">
        <v>1.5</v>
      </c>
      <c r="D22" s="184">
        <f>12.3+8.6</f>
        <v>20.9</v>
      </c>
      <c r="E22" s="184">
        <v>0</v>
      </c>
      <c r="F22" s="184">
        <v>8.6</v>
      </c>
      <c r="G22" s="116">
        <f t="shared" si="0"/>
        <v>8.6</v>
      </c>
      <c r="H22" s="199" t="e">
        <f t="shared" si="1"/>
        <v>#DIV/0!</v>
      </c>
    </row>
    <row r="23" spans="1:14" ht="18" customHeight="1">
      <c r="A23" s="8" t="s">
        <v>561</v>
      </c>
      <c r="B23" s="9" t="s">
        <v>495</v>
      </c>
      <c r="C23" s="184">
        <v>0</v>
      </c>
      <c r="D23" s="184">
        <v>0</v>
      </c>
      <c r="E23" s="184">
        <v>0</v>
      </c>
      <c r="F23" s="184"/>
      <c r="G23" s="116">
        <f t="shared" si="0"/>
        <v>0</v>
      </c>
      <c r="H23" s="199" t="e">
        <f t="shared" si="1"/>
        <v>#DIV/0!</v>
      </c>
    </row>
    <row r="24" spans="1:14" ht="18" customHeight="1">
      <c r="A24" s="8" t="s">
        <v>562</v>
      </c>
      <c r="B24" s="9" t="s">
        <v>496</v>
      </c>
      <c r="C24" s="184">
        <v>0</v>
      </c>
      <c r="D24" s="184">
        <v>0</v>
      </c>
      <c r="E24" s="184">
        <v>0</v>
      </c>
      <c r="F24" s="184"/>
      <c r="G24" s="116">
        <f t="shared" si="0"/>
        <v>0</v>
      </c>
      <c r="H24" s="199" t="e">
        <f t="shared" si="1"/>
        <v>#DIV/0!</v>
      </c>
    </row>
    <row r="25" spans="1:14" ht="19.5" customHeight="1">
      <c r="A25" s="10" t="s">
        <v>391</v>
      </c>
      <c r="B25" s="11">
        <v>3100</v>
      </c>
      <c r="C25" s="209">
        <f>SUM(C26:C29,C33,C44,C45)</f>
        <v>-2109</v>
      </c>
      <c r="D25" s="209">
        <f>SUM(D26:D29,D33,D44,D45)</f>
        <v>-2292</v>
      </c>
      <c r="E25" s="209">
        <f>SUM(E26:E29,E33,E44,E45)</f>
        <v>-1522.8</v>
      </c>
      <c r="F25" s="209">
        <f>SUM(F26:F29,F33,F44,F45)</f>
        <v>-1342.3</v>
      </c>
      <c r="G25" s="116">
        <f t="shared" si="0"/>
        <v>180.5</v>
      </c>
      <c r="H25" s="199">
        <f t="shared" si="1"/>
        <v>88.146834778040457</v>
      </c>
    </row>
    <row r="26" spans="1:14" ht="18" customHeight="1">
      <c r="A26" s="8" t="s">
        <v>251</v>
      </c>
      <c r="B26" s="9">
        <v>3110</v>
      </c>
      <c r="C26" s="184">
        <v>-175.5</v>
      </c>
      <c r="D26" s="184">
        <f>-32.6-24.8</f>
        <v>-57.400000000000006</v>
      </c>
      <c r="E26" s="184">
        <v>-22.8</v>
      </c>
      <c r="F26" s="184">
        <v>-24.8</v>
      </c>
      <c r="G26" s="116">
        <f>F26-E26</f>
        <v>-2</v>
      </c>
      <c r="H26" s="199">
        <f>(F26/E26)*100</f>
        <v>108.77192982456141</v>
      </c>
    </row>
    <row r="27" spans="1:14" ht="18" customHeight="1">
      <c r="A27" s="8" t="s">
        <v>252</v>
      </c>
      <c r="B27" s="9">
        <v>3120</v>
      </c>
      <c r="C27" s="184">
        <v>-1278.5</v>
      </c>
      <c r="D27" s="184">
        <f>-603.5-871.6</f>
        <v>-1475.1</v>
      </c>
      <c r="E27" s="184">
        <v>-989.8</v>
      </c>
      <c r="F27" s="184">
        <v>-871.6</v>
      </c>
      <c r="G27" s="116">
        <f t="shared" ref="G27:G46" si="2">F27-E27</f>
        <v>118.19999999999993</v>
      </c>
      <c r="H27" s="199">
        <f t="shared" ref="H27:H46" si="3">(F27/E27)*100</f>
        <v>88.058193574459494</v>
      </c>
    </row>
    <row r="28" spans="1:14" ht="18" customHeight="1">
      <c r="A28" s="8" t="s">
        <v>6</v>
      </c>
      <c r="B28" s="9">
        <v>3130</v>
      </c>
      <c r="C28" s="184">
        <v>-339.7</v>
      </c>
      <c r="D28" s="184">
        <f>-161.5-240.1</f>
        <v>-401.6</v>
      </c>
      <c r="E28" s="184">
        <v>-270.5</v>
      </c>
      <c r="F28" s="184">
        <v>-240.1</v>
      </c>
      <c r="G28" s="116">
        <f t="shared" si="2"/>
        <v>30.400000000000006</v>
      </c>
      <c r="H28" s="199">
        <f t="shared" si="3"/>
        <v>88.761552680221811</v>
      </c>
    </row>
    <row r="29" spans="1:14" ht="18" customHeight="1">
      <c r="A29" s="8" t="s">
        <v>79</v>
      </c>
      <c r="B29" s="9">
        <v>3140</v>
      </c>
      <c r="C29" s="225">
        <f>SUM(C30:C32)</f>
        <v>0</v>
      </c>
      <c r="D29" s="225">
        <f>SUM(D30:D32)</f>
        <v>0</v>
      </c>
      <c r="E29" s="225">
        <f>SUM(E30:E32)</f>
        <v>0</v>
      </c>
      <c r="F29" s="225">
        <f>SUM(F30:F32)</f>
        <v>0</v>
      </c>
      <c r="G29" s="116">
        <f t="shared" si="2"/>
        <v>0</v>
      </c>
      <c r="H29" s="199" t="e">
        <f t="shared" si="3"/>
        <v>#DIV/0!</v>
      </c>
    </row>
    <row r="30" spans="1:14" ht="18" customHeight="1">
      <c r="A30" s="8" t="s">
        <v>78</v>
      </c>
      <c r="B30" s="6">
        <v>3141</v>
      </c>
      <c r="C30" s="184">
        <v>0</v>
      </c>
      <c r="D30" s="184">
        <v>0</v>
      </c>
      <c r="E30" s="184">
        <v>0</v>
      </c>
      <c r="F30" s="184">
        <v>0</v>
      </c>
      <c r="G30" s="116">
        <f t="shared" si="2"/>
        <v>0</v>
      </c>
      <c r="H30" s="199" t="e">
        <f t="shared" si="3"/>
        <v>#DIV/0!</v>
      </c>
    </row>
    <row r="31" spans="1:14" ht="18" customHeight="1">
      <c r="A31" s="8" t="s">
        <v>81</v>
      </c>
      <c r="B31" s="6">
        <v>3142</v>
      </c>
      <c r="C31" s="184">
        <v>0</v>
      </c>
      <c r="D31" s="184">
        <v>0</v>
      </c>
      <c r="E31" s="184">
        <v>0</v>
      </c>
      <c r="F31" s="184">
        <v>0</v>
      </c>
      <c r="G31" s="116">
        <f t="shared" si="2"/>
        <v>0</v>
      </c>
      <c r="H31" s="199" t="e">
        <f t="shared" si="3"/>
        <v>#DIV/0!</v>
      </c>
    </row>
    <row r="32" spans="1:14" ht="18" customHeight="1">
      <c r="A32" s="8" t="s">
        <v>99</v>
      </c>
      <c r="B32" s="6">
        <v>3143</v>
      </c>
      <c r="C32" s="184">
        <v>0</v>
      </c>
      <c r="D32" s="184">
        <v>0</v>
      </c>
      <c r="E32" s="184">
        <v>0</v>
      </c>
      <c r="F32" s="184">
        <v>0</v>
      </c>
      <c r="G32" s="116">
        <f t="shared" si="2"/>
        <v>0</v>
      </c>
      <c r="H32" s="199" t="e">
        <f t="shared" si="3"/>
        <v>#DIV/0!</v>
      </c>
      <c r="N32" s="261"/>
    </row>
    <row r="33" spans="1:8" ht="36" customHeight="1">
      <c r="A33" s="8" t="s">
        <v>425</v>
      </c>
      <c r="B33" s="9">
        <v>3150</v>
      </c>
      <c r="C33" s="225">
        <f>SUM(C34:C39,C42)</f>
        <v>-315.3</v>
      </c>
      <c r="D33" s="225">
        <f>SUM(D34:D39,D42)</f>
        <v>-357.90000000000003</v>
      </c>
      <c r="E33" s="225">
        <f>SUM(E34:E39,E42)</f>
        <v>-239.70000000000002</v>
      </c>
      <c r="F33" s="225">
        <f>SUM(F34:F39,F42)</f>
        <v>-205.8</v>
      </c>
      <c r="G33" s="116">
        <f t="shared" si="2"/>
        <v>33.900000000000006</v>
      </c>
      <c r="H33" s="199">
        <f t="shared" si="3"/>
        <v>85.857321652065082</v>
      </c>
    </row>
    <row r="34" spans="1:8" ht="18" customHeight="1">
      <c r="A34" s="8" t="s">
        <v>253</v>
      </c>
      <c r="B34" s="6">
        <v>3151</v>
      </c>
      <c r="C34" s="184">
        <v>-10.5</v>
      </c>
      <c r="D34" s="184">
        <v>-9.3000000000000007</v>
      </c>
      <c r="E34" s="184">
        <v>0</v>
      </c>
      <c r="F34" s="184">
        <v>0</v>
      </c>
      <c r="G34" s="116">
        <f t="shared" si="2"/>
        <v>0</v>
      </c>
      <c r="H34" s="199" t="e">
        <f t="shared" si="3"/>
        <v>#DIV/0!</v>
      </c>
    </row>
    <row r="35" spans="1:8" ht="18" customHeight="1">
      <c r="A35" s="8" t="s">
        <v>254</v>
      </c>
      <c r="B35" s="6">
        <v>3152</v>
      </c>
      <c r="C35" s="184">
        <v>0</v>
      </c>
      <c r="D35" s="184"/>
      <c r="E35" s="184">
        <v>0</v>
      </c>
      <c r="F35" s="184"/>
      <c r="G35" s="116">
        <f t="shared" si="2"/>
        <v>0</v>
      </c>
      <c r="H35" s="199" t="e">
        <f t="shared" si="3"/>
        <v>#DIV/0!</v>
      </c>
    </row>
    <row r="36" spans="1:8" ht="18" customHeight="1">
      <c r="A36" s="8" t="s">
        <v>73</v>
      </c>
      <c r="B36" s="6">
        <v>3153</v>
      </c>
      <c r="C36" s="184">
        <v>0</v>
      </c>
      <c r="D36" s="184">
        <v>0</v>
      </c>
      <c r="E36" s="184"/>
      <c r="F36" s="184">
        <v>0</v>
      </c>
      <c r="G36" s="116">
        <f t="shared" si="2"/>
        <v>0</v>
      </c>
      <c r="H36" s="199" t="e">
        <f t="shared" si="3"/>
        <v>#DIV/0!</v>
      </c>
    </row>
    <row r="37" spans="1:8" ht="18" customHeight="1">
      <c r="A37" s="8" t="s">
        <v>255</v>
      </c>
      <c r="B37" s="6">
        <v>3154</v>
      </c>
      <c r="C37" s="184"/>
      <c r="D37" s="184">
        <v>0</v>
      </c>
      <c r="E37" s="184"/>
      <c r="F37" s="184">
        <v>0</v>
      </c>
      <c r="G37" s="116">
        <f t="shared" si="2"/>
        <v>0</v>
      </c>
      <c r="H37" s="199" t="e">
        <f t="shared" si="3"/>
        <v>#DIV/0!</v>
      </c>
    </row>
    <row r="38" spans="1:8" ht="18" customHeight="1">
      <c r="A38" s="8" t="s">
        <v>72</v>
      </c>
      <c r="B38" s="6">
        <v>3155</v>
      </c>
      <c r="C38" s="184">
        <v>-281.10000000000002</v>
      </c>
      <c r="D38" s="184">
        <f>-131.6-190.5</f>
        <v>-322.10000000000002</v>
      </c>
      <c r="E38" s="184">
        <v>-221.3</v>
      </c>
      <c r="F38" s="184">
        <v>-190.5</v>
      </c>
      <c r="G38" s="116">
        <f t="shared" si="2"/>
        <v>30.800000000000011</v>
      </c>
      <c r="H38" s="199">
        <f t="shared" si="3"/>
        <v>86.082241301400813</v>
      </c>
    </row>
    <row r="39" spans="1:8" ht="18" customHeight="1">
      <c r="A39" s="8" t="s">
        <v>392</v>
      </c>
      <c r="B39" s="6">
        <v>3156</v>
      </c>
      <c r="C39" s="225">
        <f>SUM(C40:C41)</f>
        <v>0</v>
      </c>
      <c r="D39" s="225">
        <f>SUM(D40:D41)</f>
        <v>0</v>
      </c>
      <c r="E39" s="225">
        <f>SUM(E40:E41)</f>
        <v>0</v>
      </c>
      <c r="F39" s="225">
        <f>SUM(F40:F41)</f>
        <v>0</v>
      </c>
      <c r="G39" s="116">
        <f t="shared" si="2"/>
        <v>0</v>
      </c>
      <c r="H39" s="199" t="e">
        <f t="shared" si="3"/>
        <v>#DIV/0!</v>
      </c>
    </row>
    <row r="40" spans="1:8" ht="38.25" customHeight="1">
      <c r="A40" s="8" t="s">
        <v>335</v>
      </c>
      <c r="B40" s="6" t="s">
        <v>426</v>
      </c>
      <c r="C40" s="184">
        <v>0</v>
      </c>
      <c r="D40" s="184">
        <v>0</v>
      </c>
      <c r="E40" s="184">
        <v>0</v>
      </c>
      <c r="F40" s="184">
        <v>0</v>
      </c>
      <c r="G40" s="116">
        <f t="shared" si="2"/>
        <v>0</v>
      </c>
      <c r="H40" s="199" t="e">
        <f t="shared" si="3"/>
        <v>#DIV/0!</v>
      </c>
    </row>
    <row r="41" spans="1:8" ht="55.5" customHeight="1">
      <c r="A41" s="8" t="s">
        <v>434</v>
      </c>
      <c r="B41" s="6" t="s">
        <v>427</v>
      </c>
      <c r="C41" s="184">
        <v>0</v>
      </c>
      <c r="D41" s="184">
        <v>0</v>
      </c>
      <c r="E41" s="184">
        <v>0</v>
      </c>
      <c r="F41" s="184">
        <v>0</v>
      </c>
      <c r="G41" s="116">
        <v>0</v>
      </c>
      <c r="H41" s="199" t="e">
        <f t="shared" si="3"/>
        <v>#DIV/0!</v>
      </c>
    </row>
    <row r="42" spans="1:8" ht="18" customHeight="1">
      <c r="A42" s="8" t="s">
        <v>404</v>
      </c>
      <c r="B42" s="6">
        <v>3157</v>
      </c>
      <c r="C42" s="184">
        <f>SUM(C43:C43)</f>
        <v>-23.7</v>
      </c>
      <c r="D42" s="184">
        <f>SUM(D43:D43)</f>
        <v>-26.5</v>
      </c>
      <c r="E42" s="184">
        <f>SUM(E43:E43)</f>
        <v>-18.399999999999999</v>
      </c>
      <c r="F42" s="184">
        <f>SUM(F43:F43)</f>
        <v>-15.3</v>
      </c>
      <c r="G42" s="116">
        <f t="shared" si="2"/>
        <v>3.0999999999999979</v>
      </c>
      <c r="H42" s="199">
        <f t="shared" si="3"/>
        <v>83.152173913043498</v>
      </c>
    </row>
    <row r="43" spans="1:8" ht="18" customHeight="1">
      <c r="A43" s="8" t="s">
        <v>489</v>
      </c>
      <c r="B43" s="6" t="s">
        <v>497</v>
      </c>
      <c r="C43" s="184">
        <v>-23.7</v>
      </c>
      <c r="D43" s="184">
        <f>-11.2-15.3</f>
        <v>-26.5</v>
      </c>
      <c r="E43" s="184">
        <v>-18.399999999999999</v>
      </c>
      <c r="F43" s="184">
        <v>-15.3</v>
      </c>
      <c r="G43" s="116">
        <f t="shared" si="2"/>
        <v>3.0999999999999979</v>
      </c>
      <c r="H43" s="199">
        <f t="shared" si="3"/>
        <v>83.152173913043498</v>
      </c>
    </row>
    <row r="44" spans="1:8" ht="18" customHeight="1">
      <c r="A44" s="8" t="s">
        <v>256</v>
      </c>
      <c r="B44" s="9">
        <v>3160</v>
      </c>
      <c r="C44" s="184">
        <v>0</v>
      </c>
      <c r="D44" s="184">
        <v>0</v>
      </c>
      <c r="E44" s="184">
        <v>0</v>
      </c>
      <c r="F44" s="184">
        <v>0</v>
      </c>
      <c r="G44" s="116">
        <f t="shared" si="2"/>
        <v>0</v>
      </c>
      <c r="H44" s="199" t="e">
        <f t="shared" si="3"/>
        <v>#DIV/0!</v>
      </c>
    </row>
    <row r="45" spans="1:8" ht="18" customHeight="1">
      <c r="A45" s="8" t="s">
        <v>393</v>
      </c>
      <c r="B45" s="9">
        <v>3170</v>
      </c>
      <c r="C45" s="184">
        <v>0</v>
      </c>
      <c r="D45" s="184">
        <f>SUM(D46:D46)</f>
        <v>0</v>
      </c>
      <c r="E45" s="184">
        <f>SUM(E46:E46)</f>
        <v>0</v>
      </c>
      <c r="F45" s="184">
        <f>SUM(F46:F46)</f>
        <v>0</v>
      </c>
      <c r="G45" s="116">
        <f t="shared" si="2"/>
        <v>0</v>
      </c>
      <c r="H45" s="199" t="e">
        <f t="shared" si="3"/>
        <v>#DIV/0!</v>
      </c>
    </row>
    <row r="46" spans="1:8" ht="18" customHeight="1">
      <c r="A46" s="8" t="s">
        <v>515</v>
      </c>
      <c r="B46" s="9" t="s">
        <v>498</v>
      </c>
      <c r="C46" s="184">
        <v>0</v>
      </c>
      <c r="D46" s="184">
        <v>0</v>
      </c>
      <c r="E46" s="184">
        <v>0</v>
      </c>
      <c r="F46" s="184">
        <v>0</v>
      </c>
      <c r="G46" s="116">
        <f t="shared" si="2"/>
        <v>0</v>
      </c>
      <c r="H46" s="199" t="e">
        <f t="shared" si="3"/>
        <v>#DIV/0!</v>
      </c>
    </row>
    <row r="47" spans="1:8" ht="20.100000000000001" customHeight="1">
      <c r="A47" s="10" t="s">
        <v>266</v>
      </c>
      <c r="B47" s="11">
        <v>3195</v>
      </c>
      <c r="C47" s="209">
        <f>SUM(C7,C25)</f>
        <v>-7.5</v>
      </c>
      <c r="D47" s="209">
        <f>SUM(D7,D25)</f>
        <v>212.70000000000027</v>
      </c>
      <c r="E47" s="209">
        <f>SUM(E7,E25)</f>
        <v>117.10000000000014</v>
      </c>
      <c r="F47" s="209">
        <f>SUM(F7,F25)</f>
        <v>-13</v>
      </c>
      <c r="G47" s="123">
        <f>F47-E47</f>
        <v>-130.10000000000014</v>
      </c>
      <c r="H47" s="198">
        <f>(F47/E47)*100</f>
        <v>-11.101622544833463</v>
      </c>
    </row>
    <row r="48" spans="1:8" ht="20.100000000000001" customHeight="1">
      <c r="A48" s="157" t="s">
        <v>270</v>
      </c>
      <c r="B48" s="137"/>
      <c r="C48" s="200" t="s">
        <v>499</v>
      </c>
      <c r="D48" s="311"/>
      <c r="E48" s="312"/>
      <c r="F48" s="312"/>
      <c r="G48" s="312"/>
      <c r="H48" s="313"/>
    </row>
    <row r="49" spans="1:8" ht="20.100000000000001" customHeight="1">
      <c r="A49" s="147" t="s">
        <v>394</v>
      </c>
      <c r="B49" s="136">
        <v>3200</v>
      </c>
      <c r="C49" s="209">
        <f>SUM(C50,C52:C56)</f>
        <v>0</v>
      </c>
      <c r="D49" s="209">
        <f>SUM(D50,D52:D56)</f>
        <v>0</v>
      </c>
      <c r="E49" s="209">
        <f>SUM(E50,E52:E56)</f>
        <v>0</v>
      </c>
      <c r="F49" s="209">
        <f>SUM(F50,F52:F56)</f>
        <v>0</v>
      </c>
      <c r="G49" s="123">
        <f>F49-E49</f>
        <v>0</v>
      </c>
      <c r="H49" s="198" t="e">
        <f>(F49/E49)*100</f>
        <v>#DIV/0!</v>
      </c>
    </row>
    <row r="50" spans="1:8" ht="18" customHeight="1">
      <c r="A50" s="8" t="s">
        <v>395</v>
      </c>
      <c r="B50" s="6">
        <v>3210</v>
      </c>
      <c r="C50" s="184">
        <v>0</v>
      </c>
      <c r="D50" s="184">
        <v>0</v>
      </c>
      <c r="E50" s="184">
        <v>0</v>
      </c>
      <c r="F50" s="184">
        <v>0</v>
      </c>
      <c r="G50" s="116">
        <f>F50-E50</f>
        <v>0</v>
      </c>
      <c r="H50" s="199" t="e">
        <f>(F50/E50)*100</f>
        <v>#DIV/0!</v>
      </c>
    </row>
    <row r="51" spans="1:8" ht="18" customHeight="1">
      <c r="A51" s="8" t="s">
        <v>396</v>
      </c>
      <c r="B51" s="9">
        <v>3215</v>
      </c>
      <c r="C51" s="184">
        <v>0</v>
      </c>
      <c r="D51" s="184">
        <v>0</v>
      </c>
      <c r="E51" s="184">
        <v>0</v>
      </c>
      <c r="F51" s="184">
        <v>0</v>
      </c>
      <c r="G51" s="116">
        <f t="shared" ref="G51:G56" si="4">F51-E51</f>
        <v>0</v>
      </c>
      <c r="H51" s="199" t="e">
        <f t="shared" ref="H51:H56" si="5">(F51/E51)*100</f>
        <v>#DIV/0!</v>
      </c>
    </row>
    <row r="52" spans="1:8" ht="18" customHeight="1">
      <c r="A52" s="8" t="s">
        <v>397</v>
      </c>
      <c r="B52" s="9">
        <v>3220</v>
      </c>
      <c r="C52" s="184">
        <v>0</v>
      </c>
      <c r="D52" s="184">
        <v>0</v>
      </c>
      <c r="E52" s="184">
        <v>0</v>
      </c>
      <c r="F52" s="184">
        <v>0</v>
      </c>
      <c r="G52" s="116">
        <f t="shared" si="4"/>
        <v>0</v>
      </c>
      <c r="H52" s="199" t="e">
        <f t="shared" si="5"/>
        <v>#DIV/0!</v>
      </c>
    </row>
    <row r="53" spans="1:8" ht="18" customHeight="1">
      <c r="A53" s="8" t="s">
        <v>398</v>
      </c>
      <c r="B53" s="9">
        <v>3225</v>
      </c>
      <c r="C53" s="184">
        <v>0</v>
      </c>
      <c r="D53" s="184">
        <v>0</v>
      </c>
      <c r="E53" s="184">
        <v>0</v>
      </c>
      <c r="F53" s="184">
        <v>0</v>
      </c>
      <c r="G53" s="116">
        <f t="shared" si="4"/>
        <v>0</v>
      </c>
      <c r="H53" s="199" t="e">
        <f t="shared" si="5"/>
        <v>#DIV/0!</v>
      </c>
    </row>
    <row r="54" spans="1:8" ht="18" customHeight="1">
      <c r="A54" s="8" t="s">
        <v>399</v>
      </c>
      <c r="B54" s="9">
        <v>3230</v>
      </c>
      <c r="C54" s="184">
        <v>0</v>
      </c>
      <c r="D54" s="184">
        <v>0</v>
      </c>
      <c r="E54" s="184">
        <v>0</v>
      </c>
      <c r="F54" s="184">
        <v>0</v>
      </c>
      <c r="G54" s="116">
        <f t="shared" si="4"/>
        <v>0</v>
      </c>
      <c r="H54" s="199" t="e">
        <f t="shared" si="5"/>
        <v>#DIV/0!</v>
      </c>
    </row>
    <row r="55" spans="1:8" ht="18" customHeight="1">
      <c r="A55" s="8" t="s">
        <v>428</v>
      </c>
      <c r="B55" s="9">
        <v>3235</v>
      </c>
      <c r="C55" s="184">
        <v>0</v>
      </c>
      <c r="D55" s="184">
        <v>0</v>
      </c>
      <c r="E55" s="184">
        <v>0</v>
      </c>
      <c r="F55" s="184">
        <v>0</v>
      </c>
      <c r="G55" s="116">
        <f t="shared" si="4"/>
        <v>0</v>
      </c>
      <c r="H55" s="199" t="e">
        <f t="shared" si="5"/>
        <v>#DIV/0!</v>
      </c>
    </row>
    <row r="56" spans="1:8" ht="18" customHeight="1">
      <c r="A56" s="8" t="s">
        <v>537</v>
      </c>
      <c r="B56" s="9">
        <v>3240</v>
      </c>
      <c r="C56" s="184"/>
      <c r="D56" s="184">
        <v>0</v>
      </c>
      <c r="E56" s="184">
        <v>0</v>
      </c>
      <c r="F56" s="184">
        <v>0</v>
      </c>
      <c r="G56" s="116">
        <f t="shared" si="4"/>
        <v>0</v>
      </c>
      <c r="H56" s="199" t="e">
        <f t="shared" si="5"/>
        <v>#DIV/0!</v>
      </c>
    </row>
    <row r="57" spans="1:8" ht="20.100000000000001" customHeight="1">
      <c r="A57" s="10" t="s">
        <v>400</v>
      </c>
      <c r="B57" s="11">
        <v>3255</v>
      </c>
      <c r="C57" s="209">
        <f>SUM(C58,C60,C64,C65)</f>
        <v>0</v>
      </c>
      <c r="D57" s="209">
        <f>SUM(D58,D60,D64,D65)</f>
        <v>-180</v>
      </c>
      <c r="E57" s="209">
        <f>SUM(E58,E60,E64,E65)</f>
        <v>-100</v>
      </c>
      <c r="F57" s="209">
        <f>SUM(F58,F60,F64,F65)</f>
        <v>0</v>
      </c>
      <c r="G57" s="123">
        <f>F57-E57</f>
        <v>100</v>
      </c>
      <c r="H57" s="198">
        <f>(F57/E57)*100</f>
        <v>0</v>
      </c>
    </row>
    <row r="58" spans="1:8" ht="18" customHeight="1">
      <c r="A58" s="8" t="s">
        <v>401</v>
      </c>
      <c r="B58" s="9">
        <v>3260</v>
      </c>
      <c r="C58" s="184">
        <v>0</v>
      </c>
      <c r="D58" s="184">
        <v>0</v>
      </c>
      <c r="E58" s="184">
        <v>0</v>
      </c>
      <c r="F58" s="184">
        <v>0</v>
      </c>
      <c r="G58" s="116">
        <f>F58-E58</f>
        <v>0</v>
      </c>
      <c r="H58" s="199" t="e">
        <f>(F58/E58)*100</f>
        <v>#DIV/0!</v>
      </c>
    </row>
    <row r="59" spans="1:8" ht="18" customHeight="1">
      <c r="A59" s="8" t="s">
        <v>402</v>
      </c>
      <c r="B59" s="9">
        <v>3265</v>
      </c>
      <c r="C59" s="184">
        <v>0</v>
      </c>
      <c r="D59" s="184">
        <v>0</v>
      </c>
      <c r="E59" s="184">
        <v>0</v>
      </c>
      <c r="F59" s="184">
        <v>0</v>
      </c>
      <c r="G59" s="116">
        <f t="shared" ref="G59:G65" si="6">F59-E59</f>
        <v>0</v>
      </c>
      <c r="H59" s="199" t="e">
        <f t="shared" ref="H59:H65" si="7">(F59/E59)*100</f>
        <v>#DIV/0!</v>
      </c>
    </row>
    <row r="60" spans="1:8" ht="18" customHeight="1">
      <c r="A60" s="8" t="s">
        <v>407</v>
      </c>
      <c r="B60" s="9">
        <v>3270</v>
      </c>
      <c r="C60" s="184">
        <v>0</v>
      </c>
      <c r="D60" s="234">
        <f>D63+D62+D61</f>
        <v>-180</v>
      </c>
      <c r="E60" s="234">
        <f>E63+E62+E61</f>
        <v>-100</v>
      </c>
      <c r="F60" s="234">
        <f>F63+F62+F61</f>
        <v>0</v>
      </c>
      <c r="G60" s="116">
        <f t="shared" si="6"/>
        <v>100</v>
      </c>
      <c r="H60" s="199">
        <f t="shared" si="7"/>
        <v>0</v>
      </c>
    </row>
    <row r="61" spans="1:8" ht="39" customHeight="1">
      <c r="A61" s="8" t="s">
        <v>539</v>
      </c>
      <c r="B61" s="9" t="s">
        <v>408</v>
      </c>
      <c r="C61" s="184">
        <v>0</v>
      </c>
      <c r="D61" s="184">
        <v>-180</v>
      </c>
      <c r="E61" s="184">
        <v>-100</v>
      </c>
      <c r="F61" s="184">
        <v>0</v>
      </c>
      <c r="G61" s="116">
        <f t="shared" si="6"/>
        <v>100</v>
      </c>
      <c r="H61" s="199">
        <f t="shared" si="7"/>
        <v>0</v>
      </c>
    </row>
    <row r="62" spans="1:8" ht="18" customHeight="1">
      <c r="A62" s="8" t="s">
        <v>409</v>
      </c>
      <c r="B62" s="9" t="s">
        <v>410</v>
      </c>
      <c r="C62" s="184">
        <v>0</v>
      </c>
      <c r="D62" s="184">
        <v>0</v>
      </c>
      <c r="E62" s="184">
        <v>0</v>
      </c>
      <c r="F62" s="184">
        <v>0</v>
      </c>
      <c r="G62" s="116">
        <f t="shared" si="6"/>
        <v>0</v>
      </c>
      <c r="H62" s="199" t="e">
        <f t="shared" si="7"/>
        <v>#DIV/0!</v>
      </c>
    </row>
    <row r="63" spans="1:8" ht="36.75" customHeight="1">
      <c r="A63" s="8" t="s">
        <v>540</v>
      </c>
      <c r="B63" s="9" t="s">
        <v>546</v>
      </c>
      <c r="C63" s="184">
        <v>0</v>
      </c>
      <c r="D63" s="184">
        <v>0</v>
      </c>
      <c r="E63" s="184">
        <v>0</v>
      </c>
      <c r="F63" s="184">
        <v>0</v>
      </c>
      <c r="G63" s="116">
        <f t="shared" si="6"/>
        <v>0</v>
      </c>
      <c r="H63" s="199" t="e">
        <f t="shared" si="7"/>
        <v>#DIV/0!</v>
      </c>
    </row>
    <row r="64" spans="1:8" ht="18" customHeight="1">
      <c r="A64" s="8" t="s">
        <v>403</v>
      </c>
      <c r="B64" s="9">
        <v>3280</v>
      </c>
      <c r="C64" s="184">
        <v>0</v>
      </c>
      <c r="D64" s="184">
        <v>0</v>
      </c>
      <c r="E64" s="184">
        <v>0</v>
      </c>
      <c r="F64" s="184">
        <v>0</v>
      </c>
      <c r="G64" s="116">
        <f t="shared" si="6"/>
        <v>0</v>
      </c>
      <c r="H64" s="199" t="e">
        <f t="shared" si="7"/>
        <v>#DIV/0!</v>
      </c>
    </row>
    <row r="65" spans="1:8" ht="18" customHeight="1">
      <c r="A65" s="8" t="s">
        <v>537</v>
      </c>
      <c r="B65" s="9">
        <v>3290</v>
      </c>
      <c r="C65" s="184"/>
      <c r="D65" s="184">
        <v>0</v>
      </c>
      <c r="E65" s="184">
        <v>0</v>
      </c>
      <c r="F65" s="184">
        <v>0</v>
      </c>
      <c r="G65" s="116">
        <f t="shared" si="6"/>
        <v>0</v>
      </c>
      <c r="H65" s="199" t="e">
        <f t="shared" si="7"/>
        <v>#DIV/0!</v>
      </c>
    </row>
    <row r="66" spans="1:8" ht="20.100000000000001" customHeight="1">
      <c r="A66" s="148" t="s">
        <v>118</v>
      </c>
      <c r="B66" s="139">
        <v>3295</v>
      </c>
      <c r="C66" s="240">
        <f>SUM(C49,C57)</f>
        <v>0</v>
      </c>
      <c r="D66" s="240">
        <f>SUM(D49,D57)</f>
        <v>-180</v>
      </c>
      <c r="E66" s="240">
        <f>SUM(E49,E57)</f>
        <v>-100</v>
      </c>
      <c r="F66" s="240">
        <f>SUM(F49,F57)</f>
        <v>0</v>
      </c>
      <c r="G66" s="201">
        <f>F66-E66</f>
        <v>100</v>
      </c>
      <c r="H66" s="202">
        <f>(F66/E66)*100</f>
        <v>0</v>
      </c>
    </row>
    <row r="67" spans="1:8" ht="20.100000000000001" customHeight="1">
      <c r="A67" s="157" t="s">
        <v>271</v>
      </c>
      <c r="B67" s="137"/>
      <c r="C67" s="241"/>
      <c r="D67" s="241"/>
      <c r="E67" s="241"/>
      <c r="F67" s="241"/>
      <c r="G67" s="203"/>
      <c r="H67" s="204"/>
    </row>
    <row r="68" spans="1:8" ht="20.100000000000001" customHeight="1">
      <c r="A68" s="147" t="s">
        <v>250</v>
      </c>
      <c r="B68" s="136">
        <v>3300</v>
      </c>
      <c r="C68" s="219">
        <f>SUM(C69,C70,C74)</f>
        <v>0</v>
      </c>
      <c r="D68" s="219">
        <f>SUM(D69,D70,D74)</f>
        <v>0</v>
      </c>
      <c r="E68" s="219">
        <f>SUM(E69,E70,E74)</f>
        <v>0</v>
      </c>
      <c r="F68" s="219">
        <f>SUM(F69,F70,F74)</f>
        <v>0</v>
      </c>
      <c r="G68" s="134">
        <f t="shared" ref="G68:G76" si="8">F68-E68</f>
        <v>0</v>
      </c>
      <c r="H68" s="205" t="e">
        <f t="shared" ref="H68:H76" si="9">(F68/E68)*100</f>
        <v>#DIV/0!</v>
      </c>
    </row>
    <row r="69" spans="1:8" ht="18" customHeight="1">
      <c r="A69" s="8" t="s">
        <v>264</v>
      </c>
      <c r="B69" s="9">
        <v>3305</v>
      </c>
      <c r="C69" s="184">
        <v>0</v>
      </c>
      <c r="D69" s="184">
        <v>0</v>
      </c>
      <c r="E69" s="184">
        <v>0</v>
      </c>
      <c r="F69" s="184">
        <v>0</v>
      </c>
      <c r="G69" s="116">
        <f t="shared" si="8"/>
        <v>0</v>
      </c>
      <c r="H69" s="199" t="e">
        <f t="shared" si="9"/>
        <v>#DIV/0!</v>
      </c>
    </row>
    <row r="70" spans="1:8" ht="18" customHeight="1">
      <c r="A70" s="8" t="s">
        <v>257</v>
      </c>
      <c r="B70" s="9">
        <v>3310</v>
      </c>
      <c r="C70" s="225">
        <f>SUM(C71:C73)</f>
        <v>0</v>
      </c>
      <c r="D70" s="225">
        <f>SUM(D71:D73)</f>
        <v>0</v>
      </c>
      <c r="E70" s="225">
        <f>SUM(E71:E73)</f>
        <v>0</v>
      </c>
      <c r="F70" s="225">
        <f>SUM(F71:F73)</f>
        <v>0</v>
      </c>
      <c r="G70" s="116">
        <f t="shared" si="8"/>
        <v>0</v>
      </c>
      <c r="H70" s="199" t="e">
        <f t="shared" si="9"/>
        <v>#DIV/0!</v>
      </c>
    </row>
    <row r="71" spans="1:8" ht="18" customHeight="1">
      <c r="A71" s="8" t="s">
        <v>78</v>
      </c>
      <c r="B71" s="6">
        <v>3311</v>
      </c>
      <c r="C71" s="184">
        <v>0</v>
      </c>
      <c r="D71" s="184">
        <v>0</v>
      </c>
      <c r="E71" s="184">
        <v>0</v>
      </c>
      <c r="F71" s="184">
        <v>0</v>
      </c>
      <c r="G71" s="116">
        <f t="shared" si="8"/>
        <v>0</v>
      </c>
      <c r="H71" s="199" t="e">
        <f t="shared" si="9"/>
        <v>#DIV/0!</v>
      </c>
    </row>
    <row r="72" spans="1:8" ht="18" customHeight="1">
      <c r="A72" s="8" t="s">
        <v>81</v>
      </c>
      <c r="B72" s="6">
        <v>3312</v>
      </c>
      <c r="C72" s="184">
        <v>0</v>
      </c>
      <c r="D72" s="184">
        <v>0</v>
      </c>
      <c r="E72" s="184">
        <v>0</v>
      </c>
      <c r="F72" s="184">
        <v>0</v>
      </c>
      <c r="G72" s="116">
        <f t="shared" si="8"/>
        <v>0</v>
      </c>
      <c r="H72" s="199" t="e">
        <f t="shared" si="9"/>
        <v>#DIV/0!</v>
      </c>
    </row>
    <row r="73" spans="1:8" ht="18" customHeight="1">
      <c r="A73" s="8" t="s">
        <v>99</v>
      </c>
      <c r="B73" s="6">
        <v>3313</v>
      </c>
      <c r="C73" s="184">
        <v>0</v>
      </c>
      <c r="D73" s="184">
        <v>0</v>
      </c>
      <c r="E73" s="184">
        <v>0</v>
      </c>
      <c r="F73" s="184">
        <v>0</v>
      </c>
      <c r="G73" s="116">
        <f t="shared" si="8"/>
        <v>0</v>
      </c>
      <c r="H73" s="199" t="e">
        <f t="shared" si="9"/>
        <v>#DIV/0!</v>
      </c>
    </row>
    <row r="74" spans="1:8" ht="18" customHeight="1">
      <c r="A74" s="8" t="s">
        <v>371</v>
      </c>
      <c r="B74" s="9">
        <v>3320</v>
      </c>
      <c r="C74" s="184">
        <v>0</v>
      </c>
      <c r="D74" s="184">
        <v>0</v>
      </c>
      <c r="E74" s="184">
        <v>0</v>
      </c>
      <c r="F74" s="184">
        <v>0</v>
      </c>
      <c r="G74" s="116">
        <f t="shared" si="8"/>
        <v>0</v>
      </c>
      <c r="H74" s="199" t="e">
        <f t="shared" si="9"/>
        <v>#DIV/0!</v>
      </c>
    </row>
    <row r="75" spans="1:8" ht="20.100000000000001" customHeight="1">
      <c r="A75" s="10" t="s">
        <v>405</v>
      </c>
      <c r="B75" s="11">
        <v>3330</v>
      </c>
      <c r="C75" s="209">
        <f>SUM(C76,C77,C81:C84)</f>
        <v>0</v>
      </c>
      <c r="D75" s="209">
        <f>SUM(D76,D77,D81:D84)</f>
        <v>0</v>
      </c>
      <c r="E75" s="209">
        <f>SUM(E76,E77,E81:E84)</f>
        <v>0</v>
      </c>
      <c r="F75" s="209">
        <f>SUM(F76,F77,F81:F84)</f>
        <v>0</v>
      </c>
      <c r="G75" s="123">
        <f t="shared" si="8"/>
        <v>0</v>
      </c>
      <c r="H75" s="198" t="e">
        <f t="shared" si="9"/>
        <v>#DIV/0!</v>
      </c>
    </row>
    <row r="76" spans="1:8" ht="18" customHeight="1">
      <c r="A76" s="8" t="s">
        <v>265</v>
      </c>
      <c r="B76" s="9">
        <v>3335</v>
      </c>
      <c r="C76" s="184">
        <v>0</v>
      </c>
      <c r="D76" s="184">
        <v>0</v>
      </c>
      <c r="E76" s="184">
        <v>0</v>
      </c>
      <c r="F76" s="184">
        <v>0</v>
      </c>
      <c r="G76" s="116">
        <f t="shared" si="8"/>
        <v>0</v>
      </c>
      <c r="H76" s="199" t="e">
        <f t="shared" si="9"/>
        <v>#DIV/0!</v>
      </c>
    </row>
    <row r="77" spans="1:8" ht="18" customHeight="1">
      <c r="A77" s="8" t="s">
        <v>258</v>
      </c>
      <c r="B77" s="6">
        <v>3340</v>
      </c>
      <c r="C77" s="225">
        <f>SUM(C78:C80)</f>
        <v>0</v>
      </c>
      <c r="D77" s="225">
        <f>SUM(D78:D80)</f>
        <v>0</v>
      </c>
      <c r="E77" s="225">
        <f>SUM(E78:E80)</f>
        <v>0</v>
      </c>
      <c r="F77" s="225">
        <f>SUM(F78:F80)</f>
        <v>0</v>
      </c>
      <c r="G77" s="116">
        <f t="shared" ref="G77:G84" si="10">F77-E77</f>
        <v>0</v>
      </c>
      <c r="H77" s="199" t="e">
        <f t="shared" ref="H77:H84" si="11">(F77/E77)*100</f>
        <v>#DIV/0!</v>
      </c>
    </row>
    <row r="78" spans="1:8" ht="18" customHeight="1">
      <c r="A78" s="8" t="s">
        <v>78</v>
      </c>
      <c r="B78" s="6">
        <v>3341</v>
      </c>
      <c r="C78" s="184">
        <v>0</v>
      </c>
      <c r="D78" s="184">
        <v>0</v>
      </c>
      <c r="E78" s="184">
        <v>0</v>
      </c>
      <c r="F78" s="184">
        <v>0</v>
      </c>
      <c r="G78" s="116">
        <f t="shared" si="10"/>
        <v>0</v>
      </c>
      <c r="H78" s="199" t="e">
        <f t="shared" si="11"/>
        <v>#DIV/0!</v>
      </c>
    </row>
    <row r="79" spans="1:8" ht="18" customHeight="1">
      <c r="A79" s="8" t="s">
        <v>81</v>
      </c>
      <c r="B79" s="6">
        <v>3342</v>
      </c>
      <c r="C79" s="184">
        <v>0</v>
      </c>
      <c r="D79" s="184">
        <v>0</v>
      </c>
      <c r="E79" s="184">
        <v>0</v>
      </c>
      <c r="F79" s="184">
        <v>0</v>
      </c>
      <c r="G79" s="116">
        <f t="shared" si="10"/>
        <v>0</v>
      </c>
      <c r="H79" s="199" t="e">
        <f t="shared" si="11"/>
        <v>#DIV/0!</v>
      </c>
    </row>
    <row r="80" spans="1:8" ht="18" customHeight="1">
      <c r="A80" s="8" t="s">
        <v>99</v>
      </c>
      <c r="B80" s="6">
        <v>3343</v>
      </c>
      <c r="C80" s="184">
        <v>0</v>
      </c>
      <c r="D80" s="184">
        <v>0</v>
      </c>
      <c r="E80" s="184">
        <v>0</v>
      </c>
      <c r="F80" s="184">
        <v>0</v>
      </c>
      <c r="G80" s="116">
        <f t="shared" si="10"/>
        <v>0</v>
      </c>
      <c r="H80" s="199" t="e">
        <f t="shared" si="11"/>
        <v>#DIV/0!</v>
      </c>
    </row>
    <row r="81" spans="1:8" ht="18" customHeight="1">
      <c r="A81" s="8" t="s">
        <v>429</v>
      </c>
      <c r="B81" s="6">
        <v>3350</v>
      </c>
      <c r="C81" s="184">
        <v>0</v>
      </c>
      <c r="D81" s="184">
        <v>0</v>
      </c>
      <c r="E81" s="184">
        <v>0</v>
      </c>
      <c r="F81" s="184">
        <v>0</v>
      </c>
      <c r="G81" s="116">
        <f t="shared" si="10"/>
        <v>0</v>
      </c>
      <c r="H81" s="199" t="e">
        <f t="shared" si="11"/>
        <v>#DIV/0!</v>
      </c>
    </row>
    <row r="82" spans="1:8" ht="21.75" customHeight="1">
      <c r="A82" s="8" t="s">
        <v>430</v>
      </c>
      <c r="B82" s="6">
        <v>3360</v>
      </c>
      <c r="C82" s="184">
        <v>0</v>
      </c>
      <c r="D82" s="184">
        <v>0</v>
      </c>
      <c r="E82" s="184">
        <v>0</v>
      </c>
      <c r="F82" s="184">
        <v>0</v>
      </c>
      <c r="G82" s="116">
        <f t="shared" si="10"/>
        <v>0</v>
      </c>
      <c r="H82" s="199" t="e">
        <f t="shared" si="11"/>
        <v>#DIV/0!</v>
      </c>
    </row>
    <row r="83" spans="1:8" ht="23.25" customHeight="1">
      <c r="A83" s="8" t="s">
        <v>431</v>
      </c>
      <c r="B83" s="6">
        <v>3370</v>
      </c>
      <c r="C83" s="184">
        <v>0</v>
      </c>
      <c r="D83" s="184">
        <v>0</v>
      </c>
      <c r="E83" s="184">
        <v>0</v>
      </c>
      <c r="F83" s="184">
        <v>0</v>
      </c>
      <c r="G83" s="116">
        <f t="shared" si="10"/>
        <v>0</v>
      </c>
      <c r="H83" s="199" t="e">
        <f t="shared" si="11"/>
        <v>#DIV/0!</v>
      </c>
    </row>
    <row r="84" spans="1:8" ht="18" customHeight="1">
      <c r="A84" s="8" t="s">
        <v>404</v>
      </c>
      <c r="B84" s="9">
        <v>3380</v>
      </c>
      <c r="C84" s="184">
        <v>0</v>
      </c>
      <c r="D84" s="184">
        <v>0</v>
      </c>
      <c r="E84" s="184">
        <v>0</v>
      </c>
      <c r="F84" s="184">
        <v>0</v>
      </c>
      <c r="G84" s="116">
        <f t="shared" si="10"/>
        <v>0</v>
      </c>
      <c r="H84" s="199" t="e">
        <f t="shared" si="11"/>
        <v>#DIV/0!</v>
      </c>
    </row>
    <row r="85" spans="1:8" ht="20.100000000000001" customHeight="1">
      <c r="A85" s="10" t="s">
        <v>119</v>
      </c>
      <c r="B85" s="11">
        <v>3395</v>
      </c>
      <c r="C85" s="209">
        <f>SUM(C68,C75)</f>
        <v>0</v>
      </c>
      <c r="D85" s="209">
        <f>SUM(D68,D75)</f>
        <v>0</v>
      </c>
      <c r="E85" s="209">
        <f>SUM(E68,E75)</f>
        <v>0</v>
      </c>
      <c r="F85" s="209">
        <f>SUM(F68,F75)</f>
        <v>0</v>
      </c>
      <c r="G85" s="123">
        <f>F85-E85</f>
        <v>0</v>
      </c>
      <c r="H85" s="198" t="e">
        <f>(F85/E85)*100</f>
        <v>#DIV/0!</v>
      </c>
    </row>
    <row r="86" spans="1:8" ht="19.5" customHeight="1">
      <c r="A86" s="158" t="s">
        <v>411</v>
      </c>
      <c r="B86" s="11">
        <v>3400</v>
      </c>
      <c r="C86" s="209">
        <f>SUM(C47,C66,C85)</f>
        <v>-7.5</v>
      </c>
      <c r="D86" s="209">
        <f>SUM(D47,D66,D85)</f>
        <v>32.700000000000273</v>
      </c>
      <c r="E86" s="209">
        <f>SUM(E47,E66,E85)</f>
        <v>17.100000000000136</v>
      </c>
      <c r="F86" s="209">
        <f>SUM(F47,F66,F85)</f>
        <v>-13</v>
      </c>
      <c r="G86" s="123">
        <f>F86-E86</f>
        <v>-30.100000000000136</v>
      </c>
      <c r="H86" s="198">
        <f>(F86/E86)*100</f>
        <v>-76.023391812864887</v>
      </c>
    </row>
    <row r="87" spans="1:8" ht="20.100000000000001" customHeight="1">
      <c r="A87" s="8" t="s">
        <v>272</v>
      </c>
      <c r="B87" s="9">
        <v>3405</v>
      </c>
      <c r="C87" s="184">
        <v>14.9</v>
      </c>
      <c r="D87" s="184">
        <f>23.7+69.4</f>
        <v>93.100000000000009</v>
      </c>
      <c r="E87" s="184">
        <v>4.3</v>
      </c>
      <c r="F87" s="184">
        <v>69.400000000000006</v>
      </c>
      <c r="G87" s="116">
        <f>F87-E87</f>
        <v>65.100000000000009</v>
      </c>
      <c r="H87" s="199">
        <f>(F87/E87)*100</f>
        <v>1613.953488372093</v>
      </c>
    </row>
    <row r="88" spans="1:8" ht="20.100000000000001" customHeight="1">
      <c r="A88" s="90" t="s">
        <v>121</v>
      </c>
      <c r="B88" s="9">
        <v>3410</v>
      </c>
      <c r="C88" s="184">
        <v>0</v>
      </c>
      <c r="D88" s="184">
        <v>0</v>
      </c>
      <c r="E88" s="184">
        <v>0</v>
      </c>
      <c r="F88" s="184">
        <v>0</v>
      </c>
      <c r="G88" s="116">
        <f>F88-E88</f>
        <v>0</v>
      </c>
      <c r="H88" s="199" t="e">
        <f>(F88/E88)*100</f>
        <v>#DIV/0!</v>
      </c>
    </row>
    <row r="89" spans="1:8" ht="20.100000000000001" customHeight="1">
      <c r="A89" s="8" t="s">
        <v>273</v>
      </c>
      <c r="B89" s="9">
        <v>3415</v>
      </c>
      <c r="C89" s="218">
        <f>SUM(C87,C86,C88)</f>
        <v>7.4</v>
      </c>
      <c r="D89" s="218">
        <f>SUM(D87,D86,D88)</f>
        <v>125.80000000000028</v>
      </c>
      <c r="E89" s="218">
        <f>SUM(E87,E86,E88)</f>
        <v>21.400000000000137</v>
      </c>
      <c r="F89" s="218">
        <f>SUM(F87,F86,F88)</f>
        <v>56.400000000000006</v>
      </c>
      <c r="G89" s="116">
        <f>F89-E89</f>
        <v>34.999999999999872</v>
      </c>
      <c r="H89" s="199">
        <f>(F89/E89)*100</f>
        <v>263.55140186915719</v>
      </c>
    </row>
    <row r="90" spans="1:8" ht="20.100000000000001" customHeight="1">
      <c r="A90" s="27"/>
      <c r="B90" s="1"/>
      <c r="C90" s="152"/>
      <c r="D90" s="152"/>
      <c r="E90" s="152"/>
      <c r="F90" s="262"/>
      <c r="G90" s="152"/>
      <c r="H90" s="171"/>
    </row>
    <row r="91" spans="1:8" s="15" customFormat="1">
      <c r="A91" s="27" t="s">
        <v>563</v>
      </c>
      <c r="B91" s="32"/>
      <c r="C91" s="495" t="s">
        <v>593</v>
      </c>
      <c r="D91" s="293"/>
      <c r="E91" s="32"/>
      <c r="F91" s="496" t="s">
        <v>554</v>
      </c>
      <c r="G91" s="293"/>
      <c r="H91" s="293"/>
    </row>
    <row r="92" spans="1:8" s="3" customFormat="1" ht="25.5" customHeight="1">
      <c r="A92" s="263" t="s">
        <v>594</v>
      </c>
      <c r="B92" s="1"/>
      <c r="C92" s="306" t="s">
        <v>159</v>
      </c>
      <c r="D92" s="306"/>
      <c r="E92" s="83"/>
      <c r="F92" s="290" t="s">
        <v>595</v>
      </c>
      <c r="G92" s="290"/>
      <c r="H92" s="290"/>
    </row>
    <row r="93" spans="1:8" ht="33.75" customHeight="1">
      <c r="A93" s="78"/>
      <c r="B93" s="3"/>
      <c r="C93" s="266"/>
      <c r="D93" s="266"/>
      <c r="E93" s="3"/>
      <c r="F93" s="289"/>
      <c r="G93" s="289"/>
      <c r="H93" s="289"/>
    </row>
  </sheetData>
  <mergeCells count="12">
    <mergeCell ref="C93:D93"/>
    <mergeCell ref="A1:H1"/>
    <mergeCell ref="A3:A4"/>
    <mergeCell ref="B3:B4"/>
    <mergeCell ref="C3:D3"/>
    <mergeCell ref="E3:H3"/>
    <mergeCell ref="F93:H93"/>
    <mergeCell ref="C92:D92"/>
    <mergeCell ref="F92:H92"/>
    <mergeCell ref="D48:H48"/>
    <mergeCell ref="C91:D91"/>
    <mergeCell ref="F91:H91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1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rowBreaks count="2" manualBreakCount="2">
    <brk id="40" max="7" man="1"/>
    <brk id="69" max="7" man="1"/>
  </rowBreaks>
  <ignoredErrors>
    <ignoredError sqref="H7:H8 G66:H66 G47:H47 G85:H87 G57:H58 G49:H50 G75:H76 G68:H6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view="pageBreakPreview" zoomScale="93" zoomScaleNormal="75" zoomScaleSheetLayoutView="93" workbookViewId="0">
      <selection activeCell="E25" sqref="E25"/>
    </sheetView>
  </sheetViews>
  <sheetFormatPr defaultRowHeight="18.75"/>
  <cols>
    <col min="1" max="1" width="79.5703125" style="3" customWidth="1"/>
    <col min="2" max="2" width="23.28515625" style="24" customWidth="1"/>
    <col min="3" max="3" width="19" style="24" customWidth="1"/>
    <col min="4" max="4" width="25" style="24" customWidth="1"/>
    <col min="5" max="5" width="25.7109375" style="24" customWidth="1"/>
    <col min="6" max="6" width="23" style="24" customWidth="1"/>
    <col min="7" max="7" width="22.85546875" style="24" customWidth="1"/>
    <col min="8" max="8" width="15.7109375" style="24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81" t="s">
        <v>144</v>
      </c>
      <c r="B1" s="281"/>
      <c r="C1" s="281"/>
      <c r="D1" s="281"/>
      <c r="E1" s="281"/>
      <c r="F1" s="281"/>
      <c r="G1" s="281"/>
      <c r="H1" s="281"/>
    </row>
    <row r="2" spans="1:15">
      <c r="A2" s="316"/>
      <c r="B2" s="316"/>
      <c r="C2" s="316"/>
      <c r="D2" s="316"/>
      <c r="E2" s="316"/>
      <c r="F2" s="316"/>
      <c r="G2" s="316"/>
      <c r="H2" s="316"/>
    </row>
    <row r="3" spans="1:15" ht="57" customHeight="1">
      <c r="A3" s="314" t="s">
        <v>189</v>
      </c>
      <c r="B3" s="283" t="s">
        <v>18</v>
      </c>
      <c r="C3" s="283" t="s">
        <v>155</v>
      </c>
      <c r="D3" s="283"/>
      <c r="E3" s="285" t="s">
        <v>453</v>
      </c>
      <c r="F3" s="285"/>
      <c r="G3" s="285"/>
      <c r="H3" s="285"/>
    </row>
    <row r="4" spans="1:15" ht="56.25" customHeight="1">
      <c r="A4" s="315"/>
      <c r="B4" s="283"/>
      <c r="C4" s="7" t="s">
        <v>176</v>
      </c>
      <c r="D4" s="7" t="s">
        <v>177</v>
      </c>
      <c r="E4" s="7" t="s">
        <v>178</v>
      </c>
      <c r="F4" s="7" t="s">
        <v>166</v>
      </c>
      <c r="G4" s="73" t="s">
        <v>184</v>
      </c>
      <c r="H4" s="73" t="s">
        <v>185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71</v>
      </c>
      <c r="B6" s="174">
        <v>4000</v>
      </c>
      <c r="C6" s="209">
        <f>SUM(C7:C12)</f>
        <v>159.19999999999999</v>
      </c>
      <c r="D6" s="209">
        <f>SUM(D7:D12)</f>
        <v>181.2</v>
      </c>
      <c r="E6" s="209">
        <f>SUM(E7:E12)</f>
        <v>114.8</v>
      </c>
      <c r="F6" s="209">
        <f>SUM(F7:F12)</f>
        <v>0</v>
      </c>
      <c r="G6" s="210">
        <f>F6-E6</f>
        <v>-114.8</v>
      </c>
      <c r="H6" s="150">
        <f>(F6/E6)*100</f>
        <v>0</v>
      </c>
    </row>
    <row r="7" spans="1:15" ht="20.100000000000001" customHeight="1">
      <c r="A7" s="8" t="s">
        <v>1</v>
      </c>
      <c r="B7" s="67" t="s">
        <v>149</v>
      </c>
      <c r="C7" s="242">
        <v>0</v>
      </c>
      <c r="D7" s="242">
        <v>0</v>
      </c>
      <c r="E7" s="242">
        <v>0</v>
      </c>
      <c r="F7" s="242">
        <v>0</v>
      </c>
      <c r="G7" s="184">
        <f t="shared" ref="G7:G12" si="0">F7-E7</f>
        <v>0</v>
      </c>
      <c r="H7" s="149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242">
        <v>143</v>
      </c>
      <c r="D8" s="242">
        <v>180</v>
      </c>
      <c r="E8" s="242">
        <v>113.8</v>
      </c>
      <c r="F8" s="242">
        <v>0</v>
      </c>
      <c r="G8" s="184">
        <f t="shared" si="0"/>
        <v>-113.8</v>
      </c>
      <c r="H8" s="149">
        <f t="shared" si="1"/>
        <v>0</v>
      </c>
      <c r="O8" s="21"/>
    </row>
    <row r="9" spans="1:15" ht="19.5" customHeight="1">
      <c r="A9" s="8" t="s">
        <v>30</v>
      </c>
      <c r="B9" s="67">
        <v>4030</v>
      </c>
      <c r="C9" s="242">
        <v>16.2</v>
      </c>
      <c r="D9" s="242">
        <v>1.2</v>
      </c>
      <c r="E9" s="242">
        <v>0</v>
      </c>
      <c r="F9" s="242">
        <v>0</v>
      </c>
      <c r="G9" s="184">
        <f t="shared" si="0"/>
        <v>0</v>
      </c>
      <c r="H9" s="149" t="e">
        <f t="shared" si="1"/>
        <v>#DIV/0!</v>
      </c>
      <c r="N9" s="21"/>
    </row>
    <row r="10" spans="1:15" ht="20.100000000000001" customHeight="1">
      <c r="A10" s="8" t="s">
        <v>3</v>
      </c>
      <c r="B10" s="66">
        <v>4040</v>
      </c>
      <c r="C10" s="242">
        <v>0</v>
      </c>
      <c r="D10" s="242">
        <v>0</v>
      </c>
      <c r="E10" s="242">
        <v>1</v>
      </c>
      <c r="F10" s="242">
        <v>0</v>
      </c>
      <c r="G10" s="184">
        <f t="shared" si="0"/>
        <v>-1</v>
      </c>
      <c r="H10" s="149">
        <f t="shared" si="1"/>
        <v>0</v>
      </c>
    </row>
    <row r="11" spans="1:15" ht="37.5">
      <c r="A11" s="8" t="s">
        <v>60</v>
      </c>
      <c r="B11" s="67">
        <v>4050</v>
      </c>
      <c r="C11" s="242">
        <v>0</v>
      </c>
      <c r="D11" s="242">
        <v>0</v>
      </c>
      <c r="E11" s="242">
        <v>0</v>
      </c>
      <c r="F11" s="242">
        <v>0</v>
      </c>
      <c r="G11" s="184">
        <f t="shared" si="0"/>
        <v>0</v>
      </c>
      <c r="H11" s="149" t="e">
        <f t="shared" si="1"/>
        <v>#DIV/0!</v>
      </c>
    </row>
    <row r="12" spans="1:15">
      <c r="A12" s="8" t="s">
        <v>242</v>
      </c>
      <c r="B12" s="67">
        <v>4060</v>
      </c>
      <c r="C12" s="242">
        <v>0</v>
      </c>
      <c r="D12" s="242">
        <v>0</v>
      </c>
      <c r="E12" s="242">
        <v>0</v>
      </c>
      <c r="F12" s="242">
        <v>0</v>
      </c>
      <c r="G12" s="184">
        <f t="shared" si="0"/>
        <v>0</v>
      </c>
      <c r="H12" s="149" t="e">
        <f t="shared" si="1"/>
        <v>#DIV/0!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A14" s="27" t="s">
        <v>577</v>
      </c>
      <c r="B14" s="3"/>
      <c r="C14" s="306" t="s">
        <v>159</v>
      </c>
      <c r="D14" s="306"/>
      <c r="E14" s="3"/>
      <c r="F14" s="3"/>
      <c r="G14" s="317" t="s">
        <v>554</v>
      </c>
      <c r="H14" s="318"/>
    </row>
    <row r="15" spans="1:15" s="2" customFormat="1" ht="19.5" customHeight="1">
      <c r="A15" s="4"/>
      <c r="C15" s="266"/>
      <c r="D15" s="266"/>
      <c r="G15" s="319"/>
      <c r="H15" s="318"/>
      <c r="I15" s="3"/>
    </row>
    <row r="16" spans="1:15" ht="34.5" customHeight="1">
      <c r="A16" s="3" t="s">
        <v>589</v>
      </c>
      <c r="B16" s="1"/>
      <c r="C16" s="306" t="s">
        <v>159</v>
      </c>
      <c r="D16" s="306"/>
      <c r="E16" s="83"/>
      <c r="F16" s="290" t="s">
        <v>580</v>
      </c>
      <c r="G16" s="290"/>
      <c r="H16" s="290"/>
      <c r="I16" s="290"/>
      <c r="J16" s="290"/>
    </row>
    <row r="17" spans="1:8" s="2" customFormat="1">
      <c r="A17" s="78"/>
      <c r="B17" s="3"/>
      <c r="C17" s="266"/>
      <c r="D17" s="266"/>
      <c r="E17" s="3"/>
      <c r="F17" s="289"/>
      <c r="G17" s="289"/>
      <c r="H17" s="289"/>
    </row>
    <row r="18" spans="1:8" s="2" customFormat="1"/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4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J16"/>
    <mergeCell ref="C14:D14"/>
    <mergeCell ref="C15:D15"/>
    <mergeCell ref="G14:H14"/>
    <mergeCell ref="G15:H15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5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view="pageBreakPreview" zoomScale="52" zoomScaleNormal="75" zoomScaleSheetLayoutView="5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8" sqref="F28:H28"/>
    </sheetView>
  </sheetViews>
  <sheetFormatPr defaultRowHeight="12.75"/>
  <cols>
    <col min="1" max="1" width="95" style="31" customWidth="1"/>
    <col min="2" max="2" width="15.28515625" style="31" customWidth="1"/>
    <col min="3" max="3" width="19.140625" style="31" customWidth="1"/>
    <col min="4" max="4" width="20.7109375" style="31" customWidth="1"/>
    <col min="5" max="5" width="22.140625" style="31" customWidth="1"/>
    <col min="6" max="6" width="21.85546875" style="31" customWidth="1"/>
    <col min="7" max="7" width="20.5703125" style="31" customWidth="1"/>
    <col min="8" max="8" width="73.5703125" style="31" customWidth="1"/>
    <col min="9" max="9" width="9.5703125" style="31" customWidth="1"/>
    <col min="10" max="10" width="9.140625" style="31"/>
    <col min="11" max="11" width="27.140625" style="31" customWidth="1"/>
    <col min="12" max="16384" width="9.140625" style="31"/>
  </cols>
  <sheetData>
    <row r="1" spans="1:8" ht="19.5" customHeight="1">
      <c r="A1" s="320" t="s">
        <v>145</v>
      </c>
      <c r="B1" s="320"/>
      <c r="C1" s="320"/>
      <c r="D1" s="320"/>
      <c r="E1" s="320"/>
      <c r="F1" s="320"/>
      <c r="G1" s="320"/>
      <c r="H1" s="320"/>
    </row>
    <row r="2" spans="1:8" ht="16.5" customHeight="1"/>
    <row r="3" spans="1:8" ht="49.5" customHeight="1">
      <c r="A3" s="321" t="s">
        <v>189</v>
      </c>
      <c r="B3" s="321" t="s">
        <v>0</v>
      </c>
      <c r="C3" s="321" t="s">
        <v>84</v>
      </c>
      <c r="D3" s="283" t="s">
        <v>155</v>
      </c>
      <c r="E3" s="283"/>
      <c r="F3" s="283" t="s">
        <v>453</v>
      </c>
      <c r="G3" s="283"/>
      <c r="H3" s="321" t="s">
        <v>207</v>
      </c>
    </row>
    <row r="4" spans="1:8" ht="63" customHeight="1">
      <c r="A4" s="322"/>
      <c r="B4" s="322"/>
      <c r="C4" s="322"/>
      <c r="D4" s="7" t="s">
        <v>176</v>
      </c>
      <c r="E4" s="7" t="s">
        <v>177</v>
      </c>
      <c r="F4" s="7" t="s">
        <v>176</v>
      </c>
      <c r="G4" s="7" t="s">
        <v>177</v>
      </c>
      <c r="H4" s="322"/>
    </row>
    <row r="5" spans="1:8" s="64" customFormat="1" ht="18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5" customHeight="1">
      <c r="A6" s="63" t="s">
        <v>129</v>
      </c>
      <c r="B6" s="63"/>
      <c r="C6" s="43"/>
      <c r="D6" s="43"/>
      <c r="E6" s="43"/>
      <c r="F6" s="43"/>
      <c r="G6" s="43"/>
      <c r="H6" s="43"/>
    </row>
    <row r="7" spans="1:8" ht="56.25">
      <c r="A7" s="8" t="s">
        <v>384</v>
      </c>
      <c r="B7" s="7">
        <v>5000</v>
      </c>
      <c r="C7" s="111" t="s">
        <v>213</v>
      </c>
      <c r="D7" s="245">
        <f>('I. Фін результат'!C23/'I. Фін результат'!C7)*100</f>
        <v>-3387.6993166287016</v>
      </c>
      <c r="E7" s="245">
        <f>('I. Фін результат'!D23/'I. Фін результат'!D7)*100</f>
        <v>-1844.4567627494455</v>
      </c>
      <c r="F7" s="246">
        <v>-293.60000000000002</v>
      </c>
      <c r="G7" s="245" t="e">
        <f>'Осн. фін. пок.'!F36/'Осн. фін. пок.'!F34*100</f>
        <v>#DIV/0!</v>
      </c>
      <c r="H7" s="99"/>
    </row>
    <row r="8" spans="1:8" ht="56.25">
      <c r="A8" s="8" t="s">
        <v>385</v>
      </c>
      <c r="B8" s="7">
        <v>5010</v>
      </c>
      <c r="C8" s="111" t="s">
        <v>213</v>
      </c>
      <c r="D8" s="245">
        <f>('I. Фін результат'!C124/'I. Фін результат'!C7)*100</f>
        <v>86.560364464693308</v>
      </c>
      <c r="E8" s="245">
        <f>('I. Фін результат'!D124/'I. Фін результат'!D7)*100</f>
        <v>87.583148558758012</v>
      </c>
      <c r="F8" s="246">
        <v>86.6</v>
      </c>
      <c r="G8" s="245" t="e">
        <f>'I. Фін результат'!F124/'Осн. фін. пок.'!F34*100</f>
        <v>#DIV/0!</v>
      </c>
      <c r="H8" s="99"/>
    </row>
    <row r="9" spans="1:8" ht="42.75" customHeight="1">
      <c r="A9" s="30" t="s">
        <v>386</v>
      </c>
      <c r="B9" s="7">
        <v>5020</v>
      </c>
      <c r="C9" s="111" t="s">
        <v>213</v>
      </c>
      <c r="D9" s="245">
        <f>('Осн. фін. пок.'!C66/'Осн. фін. пок.'!C143)*100</f>
        <v>20.238095238095781</v>
      </c>
      <c r="E9" s="245">
        <f>('Осн. фін. пок.'!D66/'Осн. фін. пок.'!D143)*100</f>
        <v>8.2073067119795624</v>
      </c>
      <c r="F9" s="246">
        <v>3.9</v>
      </c>
      <c r="G9" s="245" t="e">
        <f>'Осн. фін. пок.'!F84/'Осн. фін. пок.'!F143*100</f>
        <v>#VALUE!</v>
      </c>
      <c r="H9" s="99" t="s">
        <v>214</v>
      </c>
    </row>
    <row r="10" spans="1:8" ht="42.75" customHeight="1">
      <c r="A10" s="30" t="s">
        <v>387</v>
      </c>
      <c r="B10" s="7">
        <v>5030</v>
      </c>
      <c r="C10" s="111" t="s">
        <v>213</v>
      </c>
      <c r="D10" s="245">
        <f>('Осн. фін. пок.'!C66/'Осн. фін. пок.'!C149)*100</f>
        <v>8.9180327868854832</v>
      </c>
      <c r="E10" s="245">
        <f>('Осн. фін. пок.'!D66/'Осн. фін. пок.'!D149)*100</f>
        <v>21.324503311258159</v>
      </c>
      <c r="F10" s="246">
        <v>9.5</v>
      </c>
      <c r="G10" s="245" t="e">
        <f>'Осн. фін. пок.'!F66/'Осн. фін. пок.'!F149*100</f>
        <v>#VALUE!</v>
      </c>
      <c r="H10" s="99"/>
    </row>
    <row r="11" spans="1:8" ht="56.25">
      <c r="A11" s="30" t="s">
        <v>388</v>
      </c>
      <c r="B11" s="7">
        <v>5040</v>
      </c>
      <c r="C11" s="111" t="s">
        <v>213</v>
      </c>
      <c r="D11" s="245">
        <f>('Осн. фін. пок.'!C66/'Осн. фін. пок.'!C34)*100</f>
        <v>30.979498861048665</v>
      </c>
      <c r="E11" s="245">
        <f>('Осн. фін. пок.'!D66/'Осн. фін. пок.'!D34)*100</f>
        <v>53.547671840354461</v>
      </c>
      <c r="F11" s="246">
        <v>31</v>
      </c>
      <c r="G11" s="245" t="e">
        <f>'Осн. фін. пок.'!F66/'Осн. фін. пок.'!F34*100</f>
        <v>#DIV/0!</v>
      </c>
      <c r="H11" s="99" t="s">
        <v>215</v>
      </c>
    </row>
    <row r="12" spans="1:8" ht="24.95" customHeight="1">
      <c r="A12" s="63" t="s">
        <v>131</v>
      </c>
      <c r="B12" s="7"/>
      <c r="C12" s="112"/>
      <c r="D12" s="245"/>
      <c r="E12" s="245"/>
      <c r="F12" s="189"/>
      <c r="G12" s="245"/>
      <c r="H12" s="99"/>
    </row>
    <row r="13" spans="1:8" ht="56.25">
      <c r="A13" s="99" t="s">
        <v>352</v>
      </c>
      <c r="B13" s="7">
        <v>5100</v>
      </c>
      <c r="C13" s="111"/>
      <c r="D13" s="245">
        <f>('Осн. фін. пок.'!C144+'Осн. фін. пок.'!C145)/'Осн. фін. пок.'!C51</f>
        <v>1.7684210526315622</v>
      </c>
      <c r="E13" s="245">
        <f>('Осн. фін. пок.'!D144+'Осн. фін. пок.'!D145)/'Осн. фін. пок.'!D51</f>
        <v>4.5822784810126738</v>
      </c>
      <c r="F13" s="246">
        <v>5.5</v>
      </c>
      <c r="G13" s="245" t="e">
        <f>('Осн. фін. пок.'!F144+'Осн. фін. пок.'!F145)/'Осн. фін. пок.'!F51</f>
        <v>#VALUE!</v>
      </c>
      <c r="H13" s="99"/>
    </row>
    <row r="14" spans="1:8" s="64" customFormat="1" ht="56.25">
      <c r="A14" s="99" t="s">
        <v>372</v>
      </c>
      <c r="B14" s="7">
        <v>5110</v>
      </c>
      <c r="C14" s="111" t="s">
        <v>126</v>
      </c>
      <c r="D14" s="245">
        <f>'Осн. фін. пок.'!C149/('Осн. фін. пок.'!C144+'Осн. фін. пок.'!C145)</f>
        <v>2.2693452380952381</v>
      </c>
      <c r="E14" s="245">
        <f>'Осн. фін. пок.'!D149/('Осн. фін. пок.'!D144+'Осн. фін. пок.'!D145)</f>
        <v>0.62569060773480667</v>
      </c>
      <c r="F14" s="246">
        <v>0.7</v>
      </c>
      <c r="G14" s="245" t="e">
        <f>'Осн. фін. пок.'!F144+'Осн. фін. пок.'!F145</f>
        <v>#VALUE!</v>
      </c>
      <c r="H14" s="99" t="s">
        <v>216</v>
      </c>
    </row>
    <row r="15" spans="1:8" s="64" customFormat="1" ht="56.25">
      <c r="A15" s="99" t="s">
        <v>373</v>
      </c>
      <c r="B15" s="7">
        <v>5120</v>
      </c>
      <c r="C15" s="111" t="s">
        <v>126</v>
      </c>
      <c r="D15" s="245">
        <f>'Осн. фін. пок.'!C141/'Осн. фін. пок.'!C145</f>
        <v>0.46875</v>
      </c>
      <c r="E15" s="245">
        <f>'Осн. фін. пок.'!D141/'Осн. фін. пок.'!D145</f>
        <v>0.21546961325966851</v>
      </c>
      <c r="F15" s="246">
        <v>0.1</v>
      </c>
      <c r="G15" s="245" t="e">
        <f>'Осн. фін. пок.'!F141/'Осн. фін. пок.'!F145</f>
        <v>#VALUE!</v>
      </c>
      <c r="H15" s="99" t="s">
        <v>218</v>
      </c>
    </row>
    <row r="16" spans="1:8" ht="24.95" customHeight="1">
      <c r="A16" s="63" t="s">
        <v>130</v>
      </c>
      <c r="B16" s="7"/>
      <c r="C16" s="111"/>
      <c r="D16" s="245"/>
      <c r="E16" s="245"/>
      <c r="F16" s="189"/>
      <c r="G16" s="245"/>
      <c r="H16" s="99"/>
    </row>
    <row r="17" spans="1:11" ht="42.75" customHeight="1">
      <c r="A17" s="99" t="s">
        <v>374</v>
      </c>
      <c r="B17" s="7">
        <v>5200</v>
      </c>
      <c r="C17" s="111"/>
      <c r="D17" s="245">
        <f>'Осн. фін. пок.'!C118/'Осн. фін. пок.'!C78</f>
        <v>6.5245901639344259</v>
      </c>
      <c r="E17" s="245">
        <f>'Осн. фін. пок.'!D118/'Осн. фін. пок.'!D78</f>
        <v>5.9022801302931596</v>
      </c>
      <c r="F17" s="246">
        <v>6.5</v>
      </c>
      <c r="G17" s="245">
        <f>'Осн. фін. пок.'!F125/'Осн. фін. пок.'!F78</f>
        <v>0</v>
      </c>
      <c r="H17" s="99"/>
    </row>
    <row r="18" spans="1:11" ht="75">
      <c r="A18" s="99" t="s">
        <v>375</v>
      </c>
      <c r="B18" s="7">
        <v>5210</v>
      </c>
      <c r="C18" s="111"/>
      <c r="D18" s="245">
        <f>'Осн. фін. пок.'!C118/'Осн. фін. пок.'!C34</f>
        <v>3.6264236902050113</v>
      </c>
      <c r="E18" s="245">
        <f>'Осн. фін. пок.'!D118/'Осн. фін. пок.'!D34</f>
        <v>2.0088691796008868</v>
      </c>
      <c r="F18" s="246">
        <v>3.6</v>
      </c>
      <c r="G18" s="245" t="e">
        <f>'Осн. фін. пок.'!F125/'Осн. фін. пок.'!F34</f>
        <v>#DIV/0!</v>
      </c>
      <c r="H18" s="99"/>
    </row>
    <row r="19" spans="1:11" ht="37.5">
      <c r="A19" s="99" t="s">
        <v>376</v>
      </c>
      <c r="B19" s="7">
        <v>5220</v>
      </c>
      <c r="C19" s="111" t="s">
        <v>306</v>
      </c>
      <c r="D19" s="245">
        <f>'Осн. фін. пок.'!C140/'Осн. фін. пок.'!C139</f>
        <v>0.58436395759717319</v>
      </c>
      <c r="E19" s="245">
        <f>'Осн. фін. пок.'!D140/'Осн. фін. пок.'!D139</f>
        <v>0.38744900407967359</v>
      </c>
      <c r="F19" s="246">
        <v>0.5</v>
      </c>
      <c r="G19" s="245" t="e">
        <f>'Осн. фін. пок.'!F140/'Осн. фін. пок.'!F139</f>
        <v>#VALUE!</v>
      </c>
      <c r="H19" s="99" t="s">
        <v>217</v>
      </c>
    </row>
    <row r="20" spans="1:11" ht="24.95" customHeight="1">
      <c r="A20" s="63" t="s">
        <v>209</v>
      </c>
      <c r="B20" s="7"/>
      <c r="C20" s="111"/>
      <c r="D20" s="98"/>
      <c r="E20" s="98"/>
      <c r="F20" s="98"/>
      <c r="G20" s="98"/>
      <c r="H20" s="99"/>
    </row>
    <row r="21" spans="1:11" ht="75">
      <c r="A21" s="30" t="s">
        <v>437</v>
      </c>
      <c r="B21" s="7">
        <v>5300</v>
      </c>
      <c r="C21" s="111"/>
      <c r="D21" s="98"/>
      <c r="E21" s="98"/>
      <c r="F21" s="98"/>
      <c r="G21" s="98"/>
      <c r="H21" s="101"/>
    </row>
    <row r="24" spans="1:11" ht="24" customHeight="1">
      <c r="A24" s="27" t="s">
        <v>564</v>
      </c>
      <c r="C24" s="306" t="s">
        <v>159</v>
      </c>
      <c r="D24" s="306"/>
      <c r="H24" s="64" t="s">
        <v>554</v>
      </c>
    </row>
    <row r="26" spans="1:11" ht="20.25">
      <c r="K26" s="100"/>
    </row>
    <row r="27" spans="1:11" s="3" customFormat="1" ht="34.5" customHeight="1">
      <c r="A27" s="27" t="s">
        <v>590</v>
      </c>
      <c r="B27" s="1"/>
      <c r="C27" s="306" t="s">
        <v>159</v>
      </c>
      <c r="D27" s="306"/>
      <c r="E27" s="83"/>
      <c r="F27" s="290" t="s">
        <v>580</v>
      </c>
      <c r="G27" s="290"/>
      <c r="H27" s="290"/>
      <c r="I27" s="290"/>
      <c r="J27" s="290"/>
    </row>
    <row r="28" spans="1:11" s="2" customFormat="1" ht="43.5" customHeight="1">
      <c r="A28" s="78" t="s">
        <v>565</v>
      </c>
      <c r="B28" s="3"/>
      <c r="C28" s="266"/>
      <c r="D28" s="266"/>
      <c r="E28" s="3"/>
      <c r="F28" s="289"/>
      <c r="G28" s="289"/>
      <c r="H28" s="289"/>
    </row>
  </sheetData>
  <mergeCells count="12">
    <mergeCell ref="C28:D28"/>
    <mergeCell ref="F28:H28"/>
    <mergeCell ref="C27:D27"/>
    <mergeCell ref="F27:J27"/>
    <mergeCell ref="A1:H1"/>
    <mergeCell ref="A3:A4"/>
    <mergeCell ref="B3:B4"/>
    <mergeCell ref="C3:C4"/>
    <mergeCell ref="D3:E3"/>
    <mergeCell ref="F3:G3"/>
    <mergeCell ref="H3:H4"/>
    <mergeCell ref="C24:D24"/>
  </mergeCells>
  <phoneticPr fontId="3" type="noConversion"/>
  <pageMargins left="0.59055118110236227" right="0.39370078740157483" top="0.78740157480314965" bottom="0.78740157480314965" header="0.51181102362204722" footer="0.31496062992125984"/>
  <pageSetup paperSize="9" scale="43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19 D15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O98"/>
  <sheetViews>
    <sheetView view="pageBreakPreview" topLeftCell="A10" zoomScale="60" zoomScaleNormal="60" workbookViewId="0">
      <selection activeCell="R81" sqref="R81"/>
    </sheetView>
  </sheetViews>
  <sheetFormatPr defaultRowHeight="18.75"/>
  <cols>
    <col min="1" max="1" width="49.5703125" style="2" customWidth="1"/>
    <col min="2" max="2" width="13.5703125" style="20" customWidth="1"/>
    <col min="3" max="3" width="14.7109375" style="2" customWidth="1"/>
    <col min="4" max="4" width="16.140625" style="2" customWidth="1"/>
    <col min="5" max="5" width="11.140625" style="2" customWidth="1"/>
    <col min="6" max="6" width="14" style="2" customWidth="1"/>
    <col min="7" max="7" width="15.28515625" style="2" customWidth="1"/>
    <col min="8" max="8" width="10.85546875" style="2" customWidth="1"/>
    <col min="9" max="9" width="14.42578125" style="2" customWidth="1"/>
    <col min="10" max="10" width="13.28515625" style="2" customWidth="1"/>
    <col min="11" max="11" width="10.5703125" style="2" customWidth="1"/>
    <col min="12" max="12" width="14.42578125" style="2" customWidth="1"/>
    <col min="13" max="13" width="14.5703125" style="2" customWidth="1"/>
    <col min="14" max="15" width="16.7109375" style="2" customWidth="1"/>
    <col min="16" max="16384" width="9.140625" style="2"/>
  </cols>
  <sheetData>
    <row r="1" spans="1:15">
      <c r="A1" s="399" t="s">
        <v>100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>
      <c r="A2" s="399" t="s">
        <v>567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>
      <c r="A3" s="400" t="s">
        <v>568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>
      <c r="A4" s="401" t="s">
        <v>111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 ht="21" customHeight="1">
      <c r="A5" s="354" t="s">
        <v>447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19" t="s">
        <v>208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</row>
    <row r="8" spans="1:15" ht="7.5" customHeight="1">
      <c r="B8" s="2"/>
    </row>
    <row r="9" spans="1:15" s="3" customFormat="1" ht="53.25" customHeight="1">
      <c r="A9" s="283" t="s">
        <v>189</v>
      </c>
      <c r="B9" s="283"/>
      <c r="C9" s="360" t="s">
        <v>322</v>
      </c>
      <c r="D9" s="360"/>
      <c r="E9" s="361"/>
      <c r="F9" s="359" t="s">
        <v>323</v>
      </c>
      <c r="G9" s="360"/>
      <c r="H9" s="361"/>
      <c r="I9" s="283" t="s">
        <v>324</v>
      </c>
      <c r="J9" s="283"/>
      <c r="K9" s="283"/>
      <c r="L9" s="283" t="s">
        <v>442</v>
      </c>
      <c r="M9" s="283"/>
      <c r="N9" s="359" t="s">
        <v>443</v>
      </c>
      <c r="O9" s="361"/>
    </row>
    <row r="10" spans="1:15" s="3" customFormat="1" ht="17.25" customHeight="1">
      <c r="A10" s="283">
        <v>1</v>
      </c>
      <c r="B10" s="283"/>
      <c r="C10" s="360">
        <v>2</v>
      </c>
      <c r="D10" s="360"/>
      <c r="E10" s="361"/>
      <c r="F10" s="359">
        <v>3</v>
      </c>
      <c r="G10" s="360"/>
      <c r="H10" s="361"/>
      <c r="I10" s="283">
        <v>4</v>
      </c>
      <c r="J10" s="283"/>
      <c r="K10" s="283"/>
      <c r="L10" s="359">
        <v>5</v>
      </c>
      <c r="M10" s="361"/>
      <c r="N10" s="283">
        <v>6</v>
      </c>
      <c r="O10" s="283"/>
    </row>
    <row r="11" spans="1:15" s="3" customFormat="1" ht="74.25" customHeight="1">
      <c r="A11" s="301" t="s">
        <v>438</v>
      </c>
      <c r="B11" s="301"/>
      <c r="C11" s="332">
        <f>SUM(C12:C16)</f>
        <v>37</v>
      </c>
      <c r="D11" s="333"/>
      <c r="E11" s="334"/>
      <c r="F11" s="332">
        <f>SUM(F12:F16)</f>
        <v>32</v>
      </c>
      <c r="G11" s="333"/>
      <c r="H11" s="334"/>
      <c r="I11" s="332">
        <f>SUM(I12:I16)</f>
        <v>35</v>
      </c>
      <c r="J11" s="333"/>
      <c r="K11" s="334"/>
      <c r="L11" s="351">
        <f>I11-F11</f>
        <v>3</v>
      </c>
      <c r="M11" s="351"/>
      <c r="N11" s="335">
        <f>(I11/F11)*100</f>
        <v>109.375</v>
      </c>
      <c r="O11" s="336"/>
    </row>
    <row r="12" spans="1:15" s="3" customFormat="1" ht="20.25" customHeight="1">
      <c r="A12" s="343" t="s">
        <v>406</v>
      </c>
      <c r="B12" s="268"/>
      <c r="C12" s="402">
        <v>0</v>
      </c>
      <c r="D12" s="403"/>
      <c r="E12" s="404"/>
      <c r="F12" s="402">
        <v>0</v>
      </c>
      <c r="G12" s="403"/>
      <c r="H12" s="404"/>
      <c r="I12" s="402">
        <v>0</v>
      </c>
      <c r="J12" s="403"/>
      <c r="K12" s="404"/>
      <c r="L12" s="328">
        <f t="shared" ref="L12:L37" si="0">I12-F12</f>
        <v>0</v>
      </c>
      <c r="M12" s="328"/>
      <c r="N12" s="337" t="e">
        <f t="shared" ref="N12:N37" si="1">(I12/F12)*100</f>
        <v>#DIV/0!</v>
      </c>
      <c r="O12" s="338"/>
    </row>
    <row r="13" spans="1:15" s="3" customFormat="1">
      <c r="A13" s="343" t="s">
        <v>412</v>
      </c>
      <c r="B13" s="268"/>
      <c r="C13" s="405">
        <v>0</v>
      </c>
      <c r="D13" s="406"/>
      <c r="E13" s="407"/>
      <c r="F13" s="405">
        <v>0</v>
      </c>
      <c r="G13" s="406"/>
      <c r="H13" s="407"/>
      <c r="I13" s="402">
        <v>0</v>
      </c>
      <c r="J13" s="403"/>
      <c r="K13" s="404"/>
      <c r="L13" s="328">
        <f t="shared" si="0"/>
        <v>0</v>
      </c>
      <c r="M13" s="328"/>
      <c r="N13" s="337" t="e">
        <f t="shared" si="1"/>
        <v>#DIV/0!</v>
      </c>
      <c r="O13" s="338"/>
    </row>
    <row r="14" spans="1:15" s="3" customFormat="1">
      <c r="A14" s="344" t="s">
        <v>421</v>
      </c>
      <c r="B14" s="344"/>
      <c r="C14" s="340">
        <v>1</v>
      </c>
      <c r="D14" s="341"/>
      <c r="E14" s="342"/>
      <c r="F14" s="340">
        <v>1</v>
      </c>
      <c r="G14" s="341"/>
      <c r="H14" s="342"/>
      <c r="I14" s="329">
        <v>1</v>
      </c>
      <c r="J14" s="330"/>
      <c r="K14" s="330"/>
      <c r="L14" s="328">
        <f>I14-F14</f>
        <v>0</v>
      </c>
      <c r="M14" s="328"/>
      <c r="N14" s="337">
        <f t="shared" si="1"/>
        <v>100</v>
      </c>
      <c r="O14" s="338"/>
    </row>
    <row r="15" spans="1:15" s="3" customFormat="1">
      <c r="A15" s="344" t="s">
        <v>192</v>
      </c>
      <c r="B15" s="344"/>
      <c r="C15" s="340">
        <v>3</v>
      </c>
      <c r="D15" s="341"/>
      <c r="E15" s="342"/>
      <c r="F15" s="340">
        <v>3</v>
      </c>
      <c r="G15" s="341"/>
      <c r="H15" s="342"/>
      <c r="I15" s="329">
        <v>3</v>
      </c>
      <c r="J15" s="330"/>
      <c r="K15" s="331"/>
      <c r="L15" s="328">
        <f t="shared" si="0"/>
        <v>0</v>
      </c>
      <c r="M15" s="328"/>
      <c r="N15" s="337">
        <f t="shared" si="1"/>
        <v>100</v>
      </c>
      <c r="O15" s="338"/>
    </row>
    <row r="16" spans="1:15" s="3" customFormat="1">
      <c r="A16" s="344" t="s">
        <v>193</v>
      </c>
      <c r="B16" s="344"/>
      <c r="C16" s="340">
        <v>33</v>
      </c>
      <c r="D16" s="341"/>
      <c r="E16" s="342"/>
      <c r="F16" s="340">
        <v>28</v>
      </c>
      <c r="G16" s="341"/>
      <c r="H16" s="342"/>
      <c r="I16" s="329">
        <v>31</v>
      </c>
      <c r="J16" s="330"/>
      <c r="K16" s="331"/>
      <c r="L16" s="328">
        <f t="shared" si="0"/>
        <v>3</v>
      </c>
      <c r="M16" s="328"/>
      <c r="N16" s="337">
        <f t="shared" si="1"/>
        <v>110.71428571428572</v>
      </c>
      <c r="O16" s="338"/>
    </row>
    <row r="17" spans="1:15" s="5" customFormat="1" ht="37.5" customHeight="1">
      <c r="A17" s="408" t="s">
        <v>439</v>
      </c>
      <c r="B17" s="408"/>
      <c r="C17" s="332">
        <f>SUM(C18:C22)</f>
        <v>945.40000000000009</v>
      </c>
      <c r="D17" s="333"/>
      <c r="E17" s="334"/>
      <c r="F17" s="332">
        <f>SUM(F18:F22)</f>
        <v>1229.5</v>
      </c>
      <c r="G17" s="333"/>
      <c r="H17" s="334"/>
      <c r="I17" s="332">
        <f>SUM(I18:I22)</f>
        <v>1072.5</v>
      </c>
      <c r="J17" s="333"/>
      <c r="K17" s="334"/>
      <c r="L17" s="351">
        <f t="shared" si="0"/>
        <v>-157</v>
      </c>
      <c r="M17" s="351"/>
      <c r="N17" s="335">
        <f t="shared" si="1"/>
        <v>87.230581537210256</v>
      </c>
      <c r="O17" s="336"/>
    </row>
    <row r="18" spans="1:15" s="3" customFormat="1" ht="21" customHeight="1">
      <c r="A18" s="343" t="s">
        <v>406</v>
      </c>
      <c r="B18" s="268"/>
      <c r="C18" s="325">
        <v>0</v>
      </c>
      <c r="D18" s="326"/>
      <c r="E18" s="327"/>
      <c r="F18" s="325">
        <v>0</v>
      </c>
      <c r="G18" s="326"/>
      <c r="H18" s="327"/>
      <c r="I18" s="325">
        <v>0</v>
      </c>
      <c r="J18" s="326"/>
      <c r="K18" s="327"/>
      <c r="L18" s="328">
        <f t="shared" si="0"/>
        <v>0</v>
      </c>
      <c r="M18" s="328"/>
      <c r="N18" s="337" t="e">
        <f t="shared" si="1"/>
        <v>#DIV/0!</v>
      </c>
      <c r="O18" s="338"/>
    </row>
    <row r="19" spans="1:15" s="3" customFormat="1" ht="21" customHeight="1">
      <c r="A19" s="343" t="s">
        <v>412</v>
      </c>
      <c r="B19" s="268"/>
      <c r="C19" s="325">
        <v>0</v>
      </c>
      <c r="D19" s="326"/>
      <c r="E19" s="327"/>
      <c r="F19" s="325">
        <v>0</v>
      </c>
      <c r="G19" s="326"/>
      <c r="H19" s="327"/>
      <c r="I19" s="325">
        <v>0</v>
      </c>
      <c r="J19" s="326"/>
      <c r="K19" s="327"/>
      <c r="L19" s="328">
        <f t="shared" si="0"/>
        <v>0</v>
      </c>
      <c r="M19" s="328"/>
      <c r="N19" s="337" t="e">
        <f t="shared" si="1"/>
        <v>#DIV/0!</v>
      </c>
      <c r="O19" s="338"/>
    </row>
    <row r="20" spans="1:15" s="3" customFormat="1">
      <c r="A20" s="345" t="s">
        <v>421</v>
      </c>
      <c r="B20" s="345"/>
      <c r="C20" s="339">
        <v>83.6</v>
      </c>
      <c r="D20" s="339"/>
      <c r="E20" s="339"/>
      <c r="F20" s="340">
        <v>107</v>
      </c>
      <c r="G20" s="341"/>
      <c r="H20" s="342"/>
      <c r="I20" s="329">
        <v>87.8</v>
      </c>
      <c r="J20" s="330"/>
      <c r="K20" s="330"/>
      <c r="L20" s="328">
        <f t="shared" si="0"/>
        <v>-19.200000000000003</v>
      </c>
      <c r="M20" s="328"/>
      <c r="N20" s="337">
        <f t="shared" si="1"/>
        <v>82.056074766355138</v>
      </c>
      <c r="O20" s="338"/>
    </row>
    <row r="21" spans="1:15" s="3" customFormat="1">
      <c r="A21" s="344" t="s">
        <v>192</v>
      </c>
      <c r="B21" s="344"/>
      <c r="C21" s="339">
        <v>125.1</v>
      </c>
      <c r="D21" s="339"/>
      <c r="E21" s="339"/>
      <c r="F21" s="340">
        <v>141.4</v>
      </c>
      <c r="G21" s="341"/>
      <c r="H21" s="342"/>
      <c r="I21" s="329">
        <v>156.4</v>
      </c>
      <c r="J21" s="330"/>
      <c r="K21" s="331"/>
      <c r="L21" s="328">
        <f t="shared" si="0"/>
        <v>15</v>
      </c>
      <c r="M21" s="328"/>
      <c r="N21" s="337">
        <f t="shared" si="1"/>
        <v>110.6082036775106</v>
      </c>
      <c r="O21" s="338"/>
    </row>
    <row r="22" spans="1:15" s="3" customFormat="1">
      <c r="A22" s="344" t="s">
        <v>193</v>
      </c>
      <c r="B22" s="344"/>
      <c r="C22" s="339">
        <v>736.7</v>
      </c>
      <c r="D22" s="339"/>
      <c r="E22" s="339"/>
      <c r="F22" s="340">
        <v>981.1</v>
      </c>
      <c r="G22" s="341"/>
      <c r="H22" s="342"/>
      <c r="I22" s="329">
        <v>828.3</v>
      </c>
      <c r="J22" s="330"/>
      <c r="K22" s="331"/>
      <c r="L22" s="328">
        <f t="shared" si="0"/>
        <v>-152.80000000000007</v>
      </c>
      <c r="M22" s="328"/>
      <c r="N22" s="337">
        <f t="shared" si="1"/>
        <v>84.425644684537758</v>
      </c>
      <c r="O22" s="338"/>
    </row>
    <row r="23" spans="1:15" s="3" customFormat="1" ht="36" customHeight="1">
      <c r="A23" s="301" t="s">
        <v>440</v>
      </c>
      <c r="B23" s="301"/>
      <c r="C23" s="332">
        <f>C26+C27+C28</f>
        <v>945.40000000000009</v>
      </c>
      <c r="D23" s="333"/>
      <c r="E23" s="334"/>
      <c r="F23" s="332">
        <v>1799.4</v>
      </c>
      <c r="G23" s="333"/>
      <c r="H23" s="334"/>
      <c r="I23" s="332">
        <f>'Осн. фін. пок.'!F76</f>
        <v>1072.5</v>
      </c>
      <c r="J23" s="333"/>
      <c r="K23" s="334"/>
      <c r="L23" s="351">
        <f t="shared" si="0"/>
        <v>-726.90000000000009</v>
      </c>
      <c r="M23" s="351"/>
      <c r="N23" s="335">
        <f t="shared" si="1"/>
        <v>59.60320106702234</v>
      </c>
      <c r="O23" s="336"/>
    </row>
    <row r="24" spans="1:15" s="3" customFormat="1">
      <c r="A24" s="343" t="s">
        <v>406</v>
      </c>
      <c r="B24" s="268"/>
      <c r="C24" s="329">
        <v>0</v>
      </c>
      <c r="D24" s="330"/>
      <c r="E24" s="331"/>
      <c r="F24" s="329">
        <v>0</v>
      </c>
      <c r="G24" s="330"/>
      <c r="H24" s="331"/>
      <c r="I24" s="329">
        <v>0</v>
      </c>
      <c r="J24" s="330"/>
      <c r="K24" s="331"/>
      <c r="L24" s="328">
        <f t="shared" si="0"/>
        <v>0</v>
      </c>
      <c r="M24" s="328"/>
      <c r="N24" s="337" t="e">
        <f t="shared" si="1"/>
        <v>#DIV/0!</v>
      </c>
      <c r="O24" s="338"/>
    </row>
    <row r="25" spans="1:15" s="3" customFormat="1">
      <c r="A25" s="343" t="s">
        <v>412</v>
      </c>
      <c r="B25" s="268"/>
      <c r="C25" s="329">
        <v>0</v>
      </c>
      <c r="D25" s="330"/>
      <c r="E25" s="331"/>
      <c r="F25" s="329">
        <v>0</v>
      </c>
      <c r="G25" s="330"/>
      <c r="H25" s="331"/>
      <c r="I25" s="329">
        <v>0</v>
      </c>
      <c r="J25" s="330"/>
      <c r="K25" s="331"/>
      <c r="L25" s="328">
        <f t="shared" si="0"/>
        <v>0</v>
      </c>
      <c r="M25" s="328"/>
      <c r="N25" s="337" t="e">
        <f t="shared" si="1"/>
        <v>#DIV/0!</v>
      </c>
      <c r="O25" s="338"/>
    </row>
    <row r="26" spans="1:15" s="3" customFormat="1">
      <c r="A26" s="344" t="s">
        <v>421</v>
      </c>
      <c r="B26" s="344"/>
      <c r="C26" s="339">
        <v>83.6</v>
      </c>
      <c r="D26" s="339"/>
      <c r="E26" s="339"/>
      <c r="F26" s="329">
        <v>107</v>
      </c>
      <c r="G26" s="330"/>
      <c r="H26" s="331"/>
      <c r="I26" s="329">
        <v>87.8</v>
      </c>
      <c r="J26" s="330"/>
      <c r="K26" s="330"/>
      <c r="L26" s="328">
        <f t="shared" si="0"/>
        <v>-19.200000000000003</v>
      </c>
      <c r="M26" s="328"/>
      <c r="N26" s="337">
        <f t="shared" si="1"/>
        <v>82.056074766355138</v>
      </c>
      <c r="O26" s="338"/>
    </row>
    <row r="27" spans="1:15" s="3" customFormat="1">
      <c r="A27" s="344" t="s">
        <v>192</v>
      </c>
      <c r="B27" s="344"/>
      <c r="C27" s="339">
        <v>125.1</v>
      </c>
      <c r="D27" s="339"/>
      <c r="E27" s="339"/>
      <c r="F27" s="329">
        <v>141.4</v>
      </c>
      <c r="G27" s="330"/>
      <c r="H27" s="331"/>
      <c r="I27" s="329">
        <v>156.4</v>
      </c>
      <c r="J27" s="330"/>
      <c r="K27" s="331"/>
      <c r="L27" s="328">
        <f t="shared" si="0"/>
        <v>15</v>
      </c>
      <c r="M27" s="328"/>
      <c r="N27" s="337">
        <f t="shared" si="1"/>
        <v>110.6082036775106</v>
      </c>
      <c r="O27" s="338"/>
    </row>
    <row r="28" spans="1:15" s="3" customFormat="1">
      <c r="A28" s="344" t="s">
        <v>193</v>
      </c>
      <c r="B28" s="344"/>
      <c r="C28" s="339">
        <v>736.7</v>
      </c>
      <c r="D28" s="339"/>
      <c r="E28" s="339"/>
      <c r="F28" s="329">
        <v>981.1</v>
      </c>
      <c r="G28" s="330"/>
      <c r="H28" s="331"/>
      <c r="I28" s="329">
        <v>819.7</v>
      </c>
      <c r="J28" s="330"/>
      <c r="K28" s="331"/>
      <c r="L28" s="328">
        <f t="shared" si="0"/>
        <v>-161.39999999999998</v>
      </c>
      <c r="M28" s="328"/>
      <c r="N28" s="337">
        <f t="shared" si="1"/>
        <v>83.549077565997351</v>
      </c>
      <c r="O28" s="338"/>
    </row>
    <row r="29" spans="1:15" s="3" customFormat="1" ht="56.25" customHeight="1">
      <c r="A29" s="301" t="s">
        <v>441</v>
      </c>
      <c r="B29" s="301"/>
      <c r="C29" s="332">
        <f>(C23/C11)/3*1000</f>
        <v>8517.1171171171191</v>
      </c>
      <c r="D29" s="333"/>
      <c r="E29" s="334"/>
      <c r="F29" s="332">
        <f>(F23/F11)/3*1000</f>
        <v>18743.750000000004</v>
      </c>
      <c r="G29" s="333"/>
      <c r="H29" s="334"/>
      <c r="I29" s="332">
        <f>(I23/I11)/3*1000</f>
        <v>10214.285714285714</v>
      </c>
      <c r="J29" s="333"/>
      <c r="K29" s="334"/>
      <c r="L29" s="351">
        <f t="shared" si="0"/>
        <v>-8529.4642857142899</v>
      </c>
      <c r="M29" s="351"/>
      <c r="N29" s="335">
        <f t="shared" si="1"/>
        <v>54.494355261277562</v>
      </c>
      <c r="O29" s="336"/>
    </row>
    <row r="30" spans="1:15" s="3" customFormat="1" ht="18.75" customHeight="1">
      <c r="A30" s="395" t="s">
        <v>419</v>
      </c>
      <c r="B30" s="396"/>
      <c r="C30" s="348">
        <v>0</v>
      </c>
      <c r="D30" s="349"/>
      <c r="E30" s="350"/>
      <c r="F30" s="348">
        <f>0</f>
        <v>0</v>
      </c>
      <c r="G30" s="349"/>
      <c r="H30" s="350"/>
      <c r="I30" s="348">
        <v>0</v>
      </c>
      <c r="J30" s="349"/>
      <c r="K30" s="350"/>
      <c r="L30" s="328">
        <f t="shared" si="0"/>
        <v>0</v>
      </c>
      <c r="M30" s="328"/>
      <c r="N30" s="337" t="e">
        <f t="shared" si="1"/>
        <v>#DIV/0!</v>
      </c>
      <c r="O30" s="338"/>
    </row>
    <row r="31" spans="1:15" s="3" customFormat="1" ht="18.75" customHeight="1">
      <c r="A31" s="395" t="s">
        <v>420</v>
      </c>
      <c r="B31" s="396"/>
      <c r="C31" s="348">
        <v>0</v>
      </c>
      <c r="D31" s="349"/>
      <c r="E31" s="350"/>
      <c r="F31" s="348">
        <v>0</v>
      </c>
      <c r="G31" s="349"/>
      <c r="H31" s="350"/>
      <c r="I31" s="348">
        <v>0</v>
      </c>
      <c r="J31" s="349"/>
      <c r="K31" s="350"/>
      <c r="L31" s="328">
        <f t="shared" si="0"/>
        <v>0</v>
      </c>
      <c r="M31" s="328"/>
      <c r="N31" s="337" t="e">
        <f t="shared" si="1"/>
        <v>#DIV/0!</v>
      </c>
      <c r="O31" s="338"/>
    </row>
    <row r="32" spans="1:15" s="3" customFormat="1">
      <c r="A32" s="352" t="s">
        <v>424</v>
      </c>
      <c r="B32" s="353"/>
      <c r="C32" s="348">
        <f>(C26/C14)/3*1000</f>
        <v>27866.666666666664</v>
      </c>
      <c r="D32" s="349"/>
      <c r="E32" s="350"/>
      <c r="F32" s="348">
        <f>(F26/F14)/3*1000</f>
        <v>35666.666666666664</v>
      </c>
      <c r="G32" s="349"/>
      <c r="H32" s="350"/>
      <c r="I32" s="348">
        <f>(I26/I14)/3*1000</f>
        <v>29266.666666666664</v>
      </c>
      <c r="J32" s="349"/>
      <c r="K32" s="350"/>
      <c r="L32" s="328">
        <f t="shared" si="0"/>
        <v>-6400</v>
      </c>
      <c r="M32" s="328"/>
      <c r="N32" s="337">
        <f t="shared" si="1"/>
        <v>82.056074766355138</v>
      </c>
      <c r="O32" s="338"/>
    </row>
    <row r="33" spans="1:15" s="172" customFormat="1" ht="18.75" customHeight="1">
      <c r="A33" s="346" t="s">
        <v>448</v>
      </c>
      <c r="B33" s="347"/>
      <c r="C33" s="356">
        <v>4956</v>
      </c>
      <c r="D33" s="357"/>
      <c r="E33" s="358"/>
      <c r="F33" s="356">
        <v>5423</v>
      </c>
      <c r="G33" s="357"/>
      <c r="H33" s="358"/>
      <c r="I33" s="356">
        <v>5423</v>
      </c>
      <c r="J33" s="357"/>
      <c r="K33" s="358"/>
      <c r="L33" s="412">
        <f t="shared" si="0"/>
        <v>0</v>
      </c>
      <c r="M33" s="412"/>
      <c r="N33" s="410">
        <f t="shared" si="1"/>
        <v>100</v>
      </c>
      <c r="O33" s="411"/>
    </row>
    <row r="34" spans="1:15" s="172" customFormat="1">
      <c r="A34" s="346" t="s">
        <v>449</v>
      </c>
      <c r="B34" s="347"/>
      <c r="C34" s="356">
        <v>12000</v>
      </c>
      <c r="D34" s="357"/>
      <c r="E34" s="358"/>
      <c r="F34" s="356">
        <v>15000</v>
      </c>
      <c r="G34" s="357"/>
      <c r="H34" s="358"/>
      <c r="I34" s="356">
        <v>12000</v>
      </c>
      <c r="J34" s="357"/>
      <c r="K34" s="358"/>
      <c r="L34" s="412">
        <f t="shared" si="0"/>
        <v>-3000</v>
      </c>
      <c r="M34" s="412"/>
      <c r="N34" s="410">
        <f t="shared" si="1"/>
        <v>80</v>
      </c>
      <c r="O34" s="411"/>
    </row>
    <row r="35" spans="1:15" s="172" customFormat="1">
      <c r="A35" s="346" t="s">
        <v>450</v>
      </c>
      <c r="B35" s="347"/>
      <c r="C35" s="356">
        <v>10910.7</v>
      </c>
      <c r="D35" s="357"/>
      <c r="E35" s="358"/>
      <c r="F35" s="356">
        <v>15243.7</v>
      </c>
      <c r="G35" s="357"/>
      <c r="H35" s="358"/>
      <c r="I35" s="356">
        <v>11843.7</v>
      </c>
      <c r="J35" s="357"/>
      <c r="K35" s="358"/>
      <c r="L35" s="412">
        <f t="shared" si="0"/>
        <v>-3400</v>
      </c>
      <c r="M35" s="412"/>
      <c r="N35" s="410">
        <f t="shared" si="1"/>
        <v>77.695703798946454</v>
      </c>
      <c r="O35" s="411"/>
    </row>
    <row r="36" spans="1:15" s="3" customFormat="1">
      <c r="A36" s="355" t="s">
        <v>423</v>
      </c>
      <c r="B36" s="355"/>
      <c r="C36" s="348">
        <f>(C27/C15)/3*1000</f>
        <v>13899.999999999998</v>
      </c>
      <c r="D36" s="349"/>
      <c r="E36" s="350"/>
      <c r="F36" s="348">
        <f>(F27/F15)/3*1000</f>
        <v>15711.111111111109</v>
      </c>
      <c r="G36" s="349"/>
      <c r="H36" s="350"/>
      <c r="I36" s="348">
        <f>(I27/I15)/3*1000</f>
        <v>17377.777777777777</v>
      </c>
      <c r="J36" s="349"/>
      <c r="K36" s="350"/>
      <c r="L36" s="328">
        <f t="shared" si="0"/>
        <v>1666.6666666666679</v>
      </c>
      <c r="M36" s="328"/>
      <c r="N36" s="337">
        <f t="shared" si="1"/>
        <v>110.6082036775106</v>
      </c>
      <c r="O36" s="338"/>
    </row>
    <row r="37" spans="1:15" s="3" customFormat="1">
      <c r="A37" s="355" t="s">
        <v>422</v>
      </c>
      <c r="B37" s="355"/>
      <c r="C37" s="348">
        <f>(C28/C16)/3*1000</f>
        <v>7441.4141414141413</v>
      </c>
      <c r="D37" s="349"/>
      <c r="E37" s="350"/>
      <c r="F37" s="348">
        <f>(F28/F16)/3*1000</f>
        <v>11679.761904761905</v>
      </c>
      <c r="G37" s="349"/>
      <c r="H37" s="350"/>
      <c r="I37" s="348">
        <f>(I28/I16)/3*1000</f>
        <v>8813.9784946236559</v>
      </c>
      <c r="J37" s="349"/>
      <c r="K37" s="350"/>
      <c r="L37" s="328">
        <f t="shared" si="0"/>
        <v>-2865.7834101382487</v>
      </c>
      <c r="M37" s="328"/>
      <c r="N37" s="337">
        <f t="shared" si="1"/>
        <v>75.463682962836316</v>
      </c>
      <c r="O37" s="338"/>
    </row>
    <row r="38" spans="1:15" s="3" customFormat="1" ht="13.5" customHeight="1">
      <c r="A38" s="27"/>
      <c r="B38" s="27"/>
      <c r="C38" s="191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10"/>
      <c r="O38" s="110"/>
    </row>
    <row r="39" spans="1:15">
      <c r="A39" s="413" t="s">
        <v>451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</row>
    <row r="40" spans="1:15" ht="11.25" customHeight="1">
      <c r="A40" s="23"/>
      <c r="B40" s="23"/>
      <c r="C40" s="23"/>
      <c r="D40" s="23"/>
      <c r="E40" s="23"/>
      <c r="F40" s="23"/>
      <c r="G40" s="23"/>
      <c r="H40" s="23"/>
      <c r="I40" s="23"/>
    </row>
    <row r="41" spans="1:15" ht="30.75" customHeight="1">
      <c r="A41" s="354" t="s">
        <v>194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</row>
    <row r="42" spans="1:15" ht="12.75" customHeight="1"/>
    <row r="43" spans="1:15" ht="24.95" customHeight="1">
      <c r="A43" s="39" t="s">
        <v>112</v>
      </c>
      <c r="B43" s="376" t="s">
        <v>210</v>
      </c>
      <c r="C43" s="389"/>
      <c r="D43" s="389"/>
      <c r="E43" s="389"/>
      <c r="F43" s="282" t="s">
        <v>74</v>
      </c>
      <c r="G43" s="282"/>
      <c r="H43" s="282"/>
      <c r="I43" s="282"/>
      <c r="J43" s="282"/>
      <c r="K43" s="282"/>
      <c r="L43" s="282"/>
      <c r="M43" s="282"/>
      <c r="N43" s="282"/>
      <c r="O43" s="282"/>
    </row>
    <row r="44" spans="1:15" ht="17.25" customHeight="1">
      <c r="A44" s="39">
        <v>1</v>
      </c>
      <c r="B44" s="376">
        <v>2</v>
      </c>
      <c r="C44" s="389"/>
      <c r="D44" s="389"/>
      <c r="E44" s="389"/>
      <c r="F44" s="282">
        <v>3</v>
      </c>
      <c r="G44" s="282"/>
      <c r="H44" s="282"/>
      <c r="I44" s="282"/>
      <c r="J44" s="282"/>
      <c r="K44" s="282"/>
      <c r="L44" s="282"/>
      <c r="M44" s="282"/>
      <c r="N44" s="282"/>
      <c r="O44" s="282"/>
    </row>
    <row r="45" spans="1:15" ht="11.25" customHeight="1">
      <c r="A45" s="102"/>
      <c r="B45" s="368"/>
      <c r="C45" s="369"/>
      <c r="D45" s="369"/>
      <c r="E45" s="369"/>
      <c r="F45" s="355"/>
      <c r="G45" s="355"/>
      <c r="H45" s="355"/>
      <c r="I45" s="355"/>
      <c r="J45" s="355"/>
      <c r="K45" s="355"/>
      <c r="L45" s="355"/>
      <c r="M45" s="355"/>
      <c r="N45" s="355"/>
      <c r="O45" s="355"/>
    </row>
    <row r="46" spans="1:15" ht="15.75" customHeight="1">
      <c r="A46" s="102"/>
      <c r="B46" s="368"/>
      <c r="C46" s="369"/>
      <c r="D46" s="369"/>
      <c r="E46" s="369"/>
      <c r="F46" s="355"/>
      <c r="G46" s="355"/>
      <c r="H46" s="355"/>
      <c r="I46" s="355"/>
      <c r="J46" s="355"/>
      <c r="K46" s="355"/>
      <c r="L46" s="355"/>
      <c r="M46" s="355"/>
      <c r="N46" s="355"/>
      <c r="O46" s="355"/>
    </row>
    <row r="47" spans="1:15" ht="13.5" customHeight="1">
      <c r="A47" s="102"/>
      <c r="B47" s="368"/>
      <c r="C47" s="369"/>
      <c r="D47" s="369"/>
      <c r="E47" s="369"/>
      <c r="F47" s="355"/>
      <c r="G47" s="355"/>
      <c r="H47" s="355"/>
      <c r="I47" s="355"/>
      <c r="J47" s="355"/>
      <c r="K47" s="355"/>
      <c r="L47" s="355"/>
      <c r="M47" s="355"/>
      <c r="N47" s="355"/>
      <c r="O47" s="355"/>
    </row>
    <row r="48" spans="1:15" ht="20.100000000000001" customHeight="1">
      <c r="A48" s="102"/>
      <c r="B48" s="368"/>
      <c r="C48" s="369"/>
      <c r="D48" s="369"/>
      <c r="E48" s="369"/>
      <c r="F48" s="355"/>
      <c r="G48" s="355"/>
      <c r="H48" s="355"/>
      <c r="I48" s="355"/>
      <c r="J48" s="355"/>
      <c r="K48" s="355"/>
      <c r="L48" s="355"/>
      <c r="M48" s="355"/>
      <c r="N48" s="355"/>
      <c r="O48" s="355"/>
    </row>
    <row r="49" spans="1:15">
      <c r="A49" s="354" t="s">
        <v>168</v>
      </c>
      <c r="B49" s="354"/>
      <c r="C49" s="354"/>
      <c r="D49" s="354"/>
      <c r="E49" s="354"/>
      <c r="F49" s="354"/>
      <c r="G49" s="354"/>
      <c r="H49" s="354"/>
      <c r="I49" s="354"/>
      <c r="J49" s="354"/>
    </row>
    <row r="50" spans="1:15">
      <c r="A50" s="19"/>
    </row>
    <row r="51" spans="1:15" ht="52.5" customHeight="1">
      <c r="A51" s="362" t="s">
        <v>259</v>
      </c>
      <c r="B51" s="363"/>
      <c r="C51" s="364"/>
      <c r="D51" s="283" t="s">
        <v>160</v>
      </c>
      <c r="E51" s="283"/>
      <c r="F51" s="283"/>
      <c r="G51" s="283" t="s">
        <v>156</v>
      </c>
      <c r="H51" s="283"/>
      <c r="I51" s="283"/>
      <c r="J51" s="283" t="s">
        <v>190</v>
      </c>
      <c r="K51" s="283"/>
      <c r="L51" s="283"/>
      <c r="M51" s="359" t="s">
        <v>191</v>
      </c>
      <c r="N51" s="360"/>
      <c r="O51" s="361"/>
    </row>
    <row r="52" spans="1:15" ht="168" customHeight="1">
      <c r="A52" s="365"/>
      <c r="B52" s="366"/>
      <c r="C52" s="367"/>
      <c r="D52" s="7" t="s">
        <v>377</v>
      </c>
      <c r="E52" s="7" t="s">
        <v>206</v>
      </c>
      <c r="F52" s="7" t="s">
        <v>378</v>
      </c>
      <c r="G52" s="7" t="s">
        <v>377</v>
      </c>
      <c r="H52" s="7" t="s">
        <v>206</v>
      </c>
      <c r="I52" s="7" t="s">
        <v>378</v>
      </c>
      <c r="J52" s="7" t="s">
        <v>377</v>
      </c>
      <c r="K52" s="7" t="s">
        <v>206</v>
      </c>
      <c r="L52" s="7" t="s">
        <v>378</v>
      </c>
      <c r="M52" s="118" t="s">
        <v>161</v>
      </c>
      <c r="N52" s="118" t="s">
        <v>162</v>
      </c>
      <c r="O52" s="118" t="s">
        <v>221</v>
      </c>
    </row>
    <row r="53" spans="1:15">
      <c r="A53" s="359">
        <v>1</v>
      </c>
      <c r="B53" s="360"/>
      <c r="C53" s="361"/>
      <c r="D53" s="7">
        <v>2</v>
      </c>
      <c r="E53" s="7">
        <v>3</v>
      </c>
      <c r="F53" s="7">
        <v>4</v>
      </c>
      <c r="G53" s="7">
        <v>5</v>
      </c>
      <c r="H53" s="6">
        <v>6</v>
      </c>
      <c r="I53" s="6">
        <v>7</v>
      </c>
      <c r="J53" s="6">
        <v>8</v>
      </c>
      <c r="K53" s="6">
        <v>9</v>
      </c>
      <c r="L53" s="6">
        <v>10</v>
      </c>
      <c r="M53" s="6">
        <v>11</v>
      </c>
      <c r="N53" s="6">
        <v>12</v>
      </c>
      <c r="O53" s="6">
        <v>13</v>
      </c>
    </row>
    <row r="54" spans="1:15">
      <c r="A54" s="359" t="s">
        <v>566</v>
      </c>
      <c r="B54" s="360"/>
      <c r="C54" s="361"/>
      <c r="D54" s="243">
        <v>40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190">
        <f t="shared" ref="J54:L57" si="2">G54-D54</f>
        <v>-40</v>
      </c>
      <c r="K54" s="206">
        <f t="shared" si="2"/>
        <v>0</v>
      </c>
      <c r="L54" s="190">
        <f t="shared" si="2"/>
        <v>0</v>
      </c>
      <c r="M54" s="122">
        <f t="shared" ref="M54:O57" si="3">(G54/D54)*100</f>
        <v>0</v>
      </c>
      <c r="N54" s="122" t="e">
        <f t="shared" si="3"/>
        <v>#DIV/0!</v>
      </c>
      <c r="O54" s="122" t="e">
        <f t="shared" si="3"/>
        <v>#DIV/0!</v>
      </c>
    </row>
    <row r="55" spans="1:15">
      <c r="A55" s="359"/>
      <c r="B55" s="360"/>
      <c r="C55" s="361"/>
      <c r="D55" s="243">
        <v>0</v>
      </c>
      <c r="E55" s="243">
        <v>0</v>
      </c>
      <c r="F55" s="243">
        <v>0</v>
      </c>
      <c r="G55" s="243">
        <v>0</v>
      </c>
      <c r="H55" s="243">
        <v>0</v>
      </c>
      <c r="I55" s="243">
        <v>0</v>
      </c>
      <c r="J55" s="190">
        <f t="shared" si="2"/>
        <v>0</v>
      </c>
      <c r="K55" s="206">
        <f t="shared" si="2"/>
        <v>0</v>
      </c>
      <c r="L55" s="190">
        <f t="shared" si="2"/>
        <v>0</v>
      </c>
      <c r="M55" s="122" t="e">
        <f t="shared" si="3"/>
        <v>#DIV/0!</v>
      </c>
      <c r="N55" s="122" t="e">
        <f t="shared" si="3"/>
        <v>#DIV/0!</v>
      </c>
      <c r="O55" s="122" t="e">
        <f t="shared" si="3"/>
        <v>#DIV/0!</v>
      </c>
    </row>
    <row r="56" spans="1:15" ht="20.100000000000001" customHeight="1">
      <c r="A56" s="359"/>
      <c r="B56" s="360"/>
      <c r="C56" s="361"/>
      <c r="D56" s="243">
        <v>0</v>
      </c>
      <c r="E56" s="243">
        <v>0</v>
      </c>
      <c r="F56" s="243">
        <v>0</v>
      </c>
      <c r="G56" s="243">
        <v>0</v>
      </c>
      <c r="H56" s="243">
        <v>0</v>
      </c>
      <c r="I56" s="243">
        <v>0</v>
      </c>
      <c r="J56" s="190">
        <f t="shared" si="2"/>
        <v>0</v>
      </c>
      <c r="K56" s="206">
        <f t="shared" si="2"/>
        <v>0</v>
      </c>
      <c r="L56" s="190">
        <f t="shared" si="2"/>
        <v>0</v>
      </c>
      <c r="M56" s="122" t="e">
        <f t="shared" si="3"/>
        <v>#DIV/0!</v>
      </c>
      <c r="N56" s="122" t="e">
        <f t="shared" si="3"/>
        <v>#DIV/0!</v>
      </c>
      <c r="O56" s="122" t="e">
        <f t="shared" si="3"/>
        <v>#DIV/0!</v>
      </c>
    </row>
    <row r="57" spans="1:15" ht="20.100000000000001" customHeight="1">
      <c r="A57" s="343"/>
      <c r="B57" s="264"/>
      <c r="C57" s="268"/>
      <c r="D57" s="243"/>
      <c r="E57" s="243">
        <v>0</v>
      </c>
      <c r="F57" s="243">
        <v>0</v>
      </c>
      <c r="G57" s="243"/>
      <c r="H57" s="243">
        <v>0</v>
      </c>
      <c r="I57" s="243">
        <v>0</v>
      </c>
      <c r="J57" s="190">
        <f t="shared" si="2"/>
        <v>0</v>
      </c>
      <c r="K57" s="206">
        <f t="shared" si="2"/>
        <v>0</v>
      </c>
      <c r="L57" s="190">
        <f t="shared" si="2"/>
        <v>0</v>
      </c>
      <c r="M57" s="122" t="e">
        <f t="shared" si="3"/>
        <v>#DIV/0!</v>
      </c>
      <c r="N57" s="122" t="e">
        <f t="shared" si="3"/>
        <v>#DIV/0!</v>
      </c>
      <c r="O57" s="122" t="e">
        <f t="shared" si="3"/>
        <v>#DIV/0!</v>
      </c>
    </row>
    <row r="58" spans="1:15" ht="24.95" customHeight="1">
      <c r="A58" s="390" t="s">
        <v>49</v>
      </c>
      <c r="B58" s="391"/>
      <c r="C58" s="392"/>
      <c r="D58" s="244">
        <f>SUM(D54:D57)</f>
        <v>40</v>
      </c>
      <c r="E58" s="143"/>
      <c r="F58" s="143"/>
      <c r="G58" s="244">
        <f>SUM(G54:G57)</f>
        <v>0</v>
      </c>
      <c r="H58" s="143"/>
      <c r="I58" s="143"/>
      <c r="J58" s="190">
        <f>G58-D58</f>
        <v>-40</v>
      </c>
      <c r="K58" s="142"/>
      <c r="L58" s="143"/>
      <c r="M58" s="122">
        <f>(G58/D58)*100</f>
        <v>0</v>
      </c>
      <c r="N58" s="142"/>
      <c r="O58" s="143"/>
    </row>
    <row r="59" spans="1:15" ht="9.75" customHeight="1">
      <c r="A59" s="21"/>
      <c r="B59" s="22"/>
      <c r="C59" s="22"/>
      <c r="D59" s="22"/>
      <c r="E59" s="22"/>
      <c r="F59" s="12"/>
      <c r="G59" s="12"/>
      <c r="H59" s="12"/>
      <c r="I59" s="5"/>
      <c r="J59" s="5"/>
      <c r="K59" s="5"/>
      <c r="L59" s="5"/>
      <c r="M59" s="5"/>
      <c r="N59" s="5"/>
      <c r="O59" s="5"/>
    </row>
    <row r="60" spans="1:15" ht="17.25" customHeight="1">
      <c r="A60" s="354" t="s">
        <v>64</v>
      </c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</row>
    <row r="61" spans="1:15" ht="9.75" customHeight="1">
      <c r="A61" s="19"/>
    </row>
    <row r="62" spans="1:15" ht="45" customHeight="1">
      <c r="A62" s="7" t="s">
        <v>103</v>
      </c>
      <c r="B62" s="283" t="s">
        <v>63</v>
      </c>
      <c r="C62" s="283"/>
      <c r="D62" s="283" t="s">
        <v>58</v>
      </c>
      <c r="E62" s="283"/>
      <c r="F62" s="283" t="s">
        <v>59</v>
      </c>
      <c r="G62" s="283"/>
      <c r="H62" s="283" t="s">
        <v>77</v>
      </c>
      <c r="I62" s="283"/>
      <c r="J62" s="283"/>
      <c r="K62" s="359" t="s">
        <v>75</v>
      </c>
      <c r="L62" s="361"/>
      <c r="M62" s="359" t="s">
        <v>31</v>
      </c>
      <c r="N62" s="360"/>
      <c r="O62" s="361"/>
    </row>
    <row r="63" spans="1:15">
      <c r="A63" s="6">
        <v>1</v>
      </c>
      <c r="B63" s="282">
        <v>2</v>
      </c>
      <c r="C63" s="282"/>
      <c r="D63" s="282">
        <v>3</v>
      </c>
      <c r="E63" s="282"/>
      <c r="F63" s="282">
        <v>4</v>
      </c>
      <c r="G63" s="282"/>
      <c r="H63" s="282">
        <v>5</v>
      </c>
      <c r="I63" s="282"/>
      <c r="J63" s="282"/>
      <c r="K63" s="282">
        <v>6</v>
      </c>
      <c r="L63" s="282"/>
      <c r="M63" s="376">
        <v>7</v>
      </c>
      <c r="N63" s="389"/>
      <c r="O63" s="377"/>
    </row>
    <row r="64" spans="1:15" hidden="1">
      <c r="A64" s="95"/>
      <c r="B64" s="355"/>
      <c r="C64" s="355"/>
      <c r="D64" s="378"/>
      <c r="E64" s="378"/>
      <c r="F64" s="379" t="s">
        <v>173</v>
      </c>
      <c r="G64" s="379"/>
      <c r="H64" s="380"/>
      <c r="I64" s="380"/>
      <c r="J64" s="380"/>
      <c r="K64" s="372"/>
      <c r="L64" s="373"/>
      <c r="M64" s="378"/>
      <c r="N64" s="378"/>
      <c r="O64" s="378"/>
    </row>
    <row r="65" spans="1:15" hidden="1">
      <c r="A65" s="95"/>
      <c r="B65" s="395"/>
      <c r="C65" s="396"/>
      <c r="D65" s="382"/>
      <c r="E65" s="384"/>
      <c r="F65" s="393"/>
      <c r="G65" s="394"/>
      <c r="H65" s="385"/>
      <c r="I65" s="386"/>
      <c r="J65" s="387"/>
      <c r="K65" s="372"/>
      <c r="L65" s="373"/>
      <c r="M65" s="382"/>
      <c r="N65" s="383"/>
      <c r="O65" s="384"/>
    </row>
    <row r="66" spans="1:15" hidden="1">
      <c r="A66" s="95"/>
      <c r="B66" s="368"/>
      <c r="C66" s="397"/>
      <c r="D66" s="382"/>
      <c r="E66" s="384"/>
      <c r="F66" s="393"/>
      <c r="G66" s="394"/>
      <c r="H66" s="385"/>
      <c r="I66" s="386"/>
      <c r="J66" s="387"/>
      <c r="K66" s="372"/>
      <c r="L66" s="373"/>
      <c r="M66" s="382"/>
      <c r="N66" s="383"/>
      <c r="O66" s="384"/>
    </row>
    <row r="67" spans="1:15">
      <c r="A67" s="95"/>
      <c r="B67" s="355"/>
      <c r="C67" s="355"/>
      <c r="D67" s="378"/>
      <c r="E67" s="378"/>
      <c r="F67" s="379"/>
      <c r="G67" s="379"/>
      <c r="H67" s="380"/>
      <c r="I67" s="380"/>
      <c r="J67" s="380"/>
      <c r="K67" s="372"/>
      <c r="L67" s="373"/>
      <c r="M67" s="378"/>
      <c r="N67" s="378"/>
      <c r="O67" s="378"/>
    </row>
    <row r="68" spans="1:15">
      <c r="A68" s="119" t="s">
        <v>49</v>
      </c>
      <c r="B68" s="398" t="s">
        <v>32</v>
      </c>
      <c r="C68" s="398"/>
      <c r="D68" s="398" t="s">
        <v>32</v>
      </c>
      <c r="E68" s="398"/>
      <c r="F68" s="398" t="s">
        <v>32</v>
      </c>
      <c r="G68" s="398"/>
      <c r="H68" s="381"/>
      <c r="I68" s="381"/>
      <c r="J68" s="381"/>
      <c r="K68" s="370">
        <f>SUM(K64:L67)</f>
        <v>0</v>
      </c>
      <c r="L68" s="371"/>
      <c r="M68" s="388"/>
      <c r="N68" s="388"/>
      <c r="O68" s="388"/>
    </row>
    <row r="69" spans="1:15">
      <c r="A69" s="12"/>
      <c r="B69" s="24"/>
      <c r="C69" s="24"/>
      <c r="D69" s="24"/>
      <c r="E69" s="24"/>
      <c r="F69" s="24"/>
      <c r="G69" s="24"/>
      <c r="H69" s="24"/>
      <c r="I69" s="24"/>
      <c r="J69" s="24"/>
      <c r="K69" s="3"/>
      <c r="L69" s="3"/>
      <c r="M69" s="3"/>
      <c r="N69" s="3"/>
      <c r="O69" s="3"/>
    </row>
    <row r="70" spans="1:15">
      <c r="A70" s="354" t="s">
        <v>65</v>
      </c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</row>
    <row r="71" spans="1:15" ht="15" customHeight="1">
      <c r="A71" s="5"/>
      <c r="B71" s="17"/>
      <c r="C71" s="5"/>
      <c r="D71" s="5"/>
      <c r="E71" s="5"/>
      <c r="F71" s="5"/>
      <c r="G71" s="5"/>
      <c r="H71" s="5"/>
      <c r="I71" s="16"/>
    </row>
    <row r="72" spans="1:15" ht="42.75" customHeight="1">
      <c r="A72" s="283" t="s">
        <v>57</v>
      </c>
      <c r="B72" s="283"/>
      <c r="C72" s="283"/>
      <c r="D72" s="283" t="s">
        <v>163</v>
      </c>
      <c r="E72" s="283"/>
      <c r="F72" s="283" t="s">
        <v>164</v>
      </c>
      <c r="G72" s="283"/>
      <c r="H72" s="283"/>
      <c r="I72" s="283"/>
      <c r="J72" s="283" t="s">
        <v>311</v>
      </c>
      <c r="K72" s="283"/>
      <c r="L72" s="283"/>
      <c r="M72" s="283"/>
      <c r="N72" s="283" t="s">
        <v>167</v>
      </c>
      <c r="O72" s="283"/>
    </row>
    <row r="73" spans="1:15" ht="14.25" customHeight="1">
      <c r="A73" s="283"/>
      <c r="B73" s="283"/>
      <c r="C73" s="283"/>
      <c r="D73" s="283"/>
      <c r="E73" s="283"/>
      <c r="F73" s="282" t="s">
        <v>165</v>
      </c>
      <c r="G73" s="282"/>
      <c r="H73" s="283" t="s">
        <v>166</v>
      </c>
      <c r="I73" s="283"/>
      <c r="J73" s="282" t="s">
        <v>165</v>
      </c>
      <c r="K73" s="282"/>
      <c r="L73" s="283" t="s">
        <v>166</v>
      </c>
      <c r="M73" s="283"/>
      <c r="N73" s="283"/>
      <c r="O73" s="283"/>
    </row>
    <row r="74" spans="1:15">
      <c r="A74" s="283">
        <v>1</v>
      </c>
      <c r="B74" s="283"/>
      <c r="C74" s="283"/>
      <c r="D74" s="359">
        <v>2</v>
      </c>
      <c r="E74" s="361"/>
      <c r="F74" s="359">
        <v>3</v>
      </c>
      <c r="G74" s="361"/>
      <c r="H74" s="376">
        <v>4</v>
      </c>
      <c r="I74" s="377"/>
      <c r="J74" s="376">
        <v>5</v>
      </c>
      <c r="K74" s="377"/>
      <c r="L74" s="376">
        <v>6</v>
      </c>
      <c r="M74" s="377"/>
      <c r="N74" s="376">
        <v>7</v>
      </c>
      <c r="O74" s="377"/>
    </row>
    <row r="75" spans="1:15" ht="20.100000000000001" customHeight="1">
      <c r="A75" s="344" t="s">
        <v>203</v>
      </c>
      <c r="B75" s="344"/>
      <c r="C75" s="344"/>
      <c r="D75" s="372"/>
      <c r="E75" s="373"/>
      <c r="F75" s="372"/>
      <c r="G75" s="373"/>
      <c r="H75" s="372"/>
      <c r="I75" s="373"/>
      <c r="J75" s="372"/>
      <c r="K75" s="373"/>
      <c r="L75" s="372"/>
      <c r="M75" s="373"/>
      <c r="N75" s="374">
        <f>D75+H75-L75</f>
        <v>0</v>
      </c>
      <c r="O75" s="375"/>
    </row>
    <row r="76" spans="1:15" ht="20.100000000000001" customHeight="1">
      <c r="A76" s="344" t="s">
        <v>86</v>
      </c>
      <c r="B76" s="344"/>
      <c r="C76" s="344"/>
      <c r="D76" s="372"/>
      <c r="E76" s="373"/>
      <c r="F76" s="372"/>
      <c r="G76" s="373"/>
      <c r="H76" s="372"/>
      <c r="I76" s="373"/>
      <c r="J76" s="372"/>
      <c r="K76" s="373"/>
      <c r="L76" s="372"/>
      <c r="M76" s="373"/>
      <c r="N76" s="372"/>
      <c r="O76" s="373"/>
    </row>
    <row r="77" spans="1:15" ht="20.100000000000001" customHeight="1">
      <c r="A77" s="344"/>
      <c r="B77" s="344"/>
      <c r="C77" s="344"/>
      <c r="D77" s="372"/>
      <c r="E77" s="373"/>
      <c r="F77" s="372"/>
      <c r="G77" s="373"/>
      <c r="H77" s="372"/>
      <c r="I77" s="373"/>
      <c r="J77" s="372"/>
      <c r="K77" s="373"/>
      <c r="L77" s="372"/>
      <c r="M77" s="373"/>
      <c r="N77" s="372"/>
      <c r="O77" s="373"/>
    </row>
    <row r="78" spans="1:15" ht="20.100000000000001" customHeight="1">
      <c r="A78" s="344" t="s">
        <v>204</v>
      </c>
      <c r="B78" s="344"/>
      <c r="C78" s="344"/>
      <c r="D78" s="372"/>
      <c r="E78" s="373"/>
      <c r="F78" s="372"/>
      <c r="G78" s="373"/>
      <c r="H78" s="372"/>
      <c r="I78" s="373"/>
      <c r="J78" s="372"/>
      <c r="K78" s="373"/>
      <c r="L78" s="372"/>
      <c r="M78" s="373"/>
      <c r="N78" s="374">
        <f>D78+H78-L78</f>
        <v>0</v>
      </c>
      <c r="O78" s="375"/>
    </row>
    <row r="79" spans="1:15" ht="20.100000000000001" customHeight="1">
      <c r="A79" s="344" t="s">
        <v>87</v>
      </c>
      <c r="B79" s="344"/>
      <c r="C79" s="344"/>
      <c r="D79" s="372"/>
      <c r="E79" s="373"/>
      <c r="F79" s="372"/>
      <c r="G79" s="373"/>
      <c r="H79" s="372"/>
      <c r="I79" s="373"/>
      <c r="J79" s="372"/>
      <c r="K79" s="373"/>
      <c r="L79" s="372"/>
      <c r="M79" s="373"/>
      <c r="N79" s="372"/>
      <c r="O79" s="373"/>
    </row>
    <row r="80" spans="1:15" ht="20.100000000000001" customHeight="1">
      <c r="A80" s="344"/>
      <c r="B80" s="344"/>
      <c r="C80" s="344"/>
      <c r="D80" s="372"/>
      <c r="E80" s="373"/>
      <c r="F80" s="372"/>
      <c r="G80" s="373"/>
      <c r="H80" s="372"/>
      <c r="I80" s="373"/>
      <c r="J80" s="372"/>
      <c r="K80" s="373"/>
      <c r="L80" s="372"/>
      <c r="M80" s="373"/>
      <c r="N80" s="372"/>
      <c r="O80" s="373"/>
    </row>
    <row r="81" spans="1:15" ht="20.100000000000001" customHeight="1">
      <c r="A81" s="344" t="s">
        <v>205</v>
      </c>
      <c r="B81" s="344"/>
      <c r="C81" s="344"/>
      <c r="D81" s="372"/>
      <c r="E81" s="373"/>
      <c r="F81" s="372"/>
      <c r="G81" s="373"/>
      <c r="H81" s="372"/>
      <c r="I81" s="373"/>
      <c r="J81" s="372"/>
      <c r="K81" s="373"/>
      <c r="L81" s="372"/>
      <c r="M81" s="373"/>
      <c r="N81" s="374">
        <f>D81+H81-L81</f>
        <v>0</v>
      </c>
      <c r="O81" s="375"/>
    </row>
    <row r="82" spans="1:15" ht="20.100000000000001" customHeight="1">
      <c r="A82" s="344" t="s">
        <v>86</v>
      </c>
      <c r="B82" s="344"/>
      <c r="C82" s="344"/>
      <c r="D82" s="372"/>
      <c r="E82" s="373"/>
      <c r="F82" s="372"/>
      <c r="G82" s="373"/>
      <c r="H82" s="372"/>
      <c r="I82" s="373"/>
      <c r="J82" s="372"/>
      <c r="K82" s="373"/>
      <c r="L82" s="372"/>
      <c r="M82" s="373"/>
      <c r="N82" s="372"/>
      <c r="O82" s="373"/>
    </row>
    <row r="83" spans="1:15" ht="20.100000000000001" customHeight="1">
      <c r="A83" s="344"/>
      <c r="B83" s="344"/>
      <c r="C83" s="344"/>
      <c r="D83" s="372"/>
      <c r="E83" s="373"/>
      <c r="F83" s="372"/>
      <c r="G83" s="373"/>
      <c r="H83" s="372"/>
      <c r="I83" s="373"/>
      <c r="J83" s="372"/>
      <c r="K83" s="373"/>
      <c r="L83" s="372"/>
      <c r="M83" s="373"/>
      <c r="N83" s="372"/>
      <c r="O83" s="373"/>
    </row>
    <row r="84" spans="1:15" ht="24.95" customHeight="1">
      <c r="A84" s="301" t="s">
        <v>49</v>
      </c>
      <c r="B84" s="301"/>
      <c r="C84" s="301"/>
      <c r="D84" s="370">
        <f>SUM(D75,D78,D81)</f>
        <v>0</v>
      </c>
      <c r="E84" s="371"/>
      <c r="F84" s="370">
        <f>SUM(F75,F78,F81)</f>
        <v>0</v>
      </c>
      <c r="G84" s="371"/>
      <c r="H84" s="370">
        <f>SUM(H75,H78,H81)</f>
        <v>0</v>
      </c>
      <c r="I84" s="371"/>
      <c r="J84" s="370">
        <f>SUM(J75,J78,J81)</f>
        <v>0</v>
      </c>
      <c r="K84" s="371"/>
      <c r="L84" s="370">
        <f>SUM(L75,L78,L81)</f>
        <v>0</v>
      </c>
      <c r="M84" s="371"/>
      <c r="N84" s="370">
        <f>D84+H84-L84</f>
        <v>0</v>
      </c>
      <c r="O84" s="371"/>
    </row>
    <row r="85" spans="1:15">
      <c r="C85" s="29"/>
      <c r="D85" s="29"/>
      <c r="E85" s="29"/>
    </row>
    <row r="86" spans="1:15">
      <c r="A86" s="2" t="s">
        <v>569</v>
      </c>
      <c r="C86" s="29"/>
      <c r="D86" s="29"/>
      <c r="E86" s="323" t="s">
        <v>570</v>
      </c>
      <c r="F86" s="318"/>
      <c r="G86" s="318"/>
      <c r="K86" s="324" t="s">
        <v>554</v>
      </c>
      <c r="L86" s="409"/>
      <c r="M86" s="409"/>
      <c r="N86" s="409"/>
    </row>
    <row r="87" spans="1:15">
      <c r="A87" s="2" t="s">
        <v>591</v>
      </c>
      <c r="C87" s="29"/>
      <c r="D87" s="29"/>
      <c r="E87" s="323" t="s">
        <v>570</v>
      </c>
      <c r="F87" s="318"/>
      <c r="G87" s="318"/>
      <c r="K87" s="324" t="s">
        <v>580</v>
      </c>
      <c r="L87" s="318"/>
      <c r="M87" s="318"/>
    </row>
    <row r="88" spans="1:15">
      <c r="C88" s="29"/>
      <c r="D88" s="29"/>
      <c r="E88" s="29"/>
    </row>
    <row r="89" spans="1:15">
      <c r="C89" s="29"/>
      <c r="D89" s="29"/>
      <c r="E89" s="29"/>
    </row>
    <row r="90" spans="1:15">
      <c r="C90" s="29"/>
      <c r="D90" s="29"/>
      <c r="E90" s="29"/>
    </row>
    <row r="91" spans="1:15">
      <c r="C91" s="29"/>
      <c r="D91" s="29"/>
      <c r="E91" s="29"/>
    </row>
    <row r="92" spans="1:15">
      <c r="C92" s="29"/>
      <c r="D92" s="29"/>
      <c r="E92" s="29"/>
    </row>
    <row r="93" spans="1:15">
      <c r="C93" s="29"/>
      <c r="D93" s="29"/>
      <c r="E93" s="29"/>
    </row>
    <row r="94" spans="1:15">
      <c r="C94" s="29"/>
      <c r="D94" s="29"/>
      <c r="E94" s="29"/>
    </row>
    <row r="95" spans="1:15">
      <c r="C95" s="29"/>
      <c r="D95" s="29"/>
      <c r="E95" s="29"/>
    </row>
    <row r="96" spans="1:15">
      <c r="C96" s="29"/>
      <c r="D96" s="29"/>
      <c r="E96" s="29"/>
    </row>
    <row r="97" spans="3:5">
      <c r="C97" s="29"/>
      <c r="D97" s="29"/>
      <c r="E97" s="29"/>
    </row>
    <row r="98" spans="3:5">
      <c r="C98" s="29"/>
      <c r="D98" s="29"/>
      <c r="E98" s="29"/>
    </row>
  </sheetData>
  <mergeCells count="340">
    <mergeCell ref="A55:C55"/>
    <mergeCell ref="L26:M26"/>
    <mergeCell ref="L27:M27"/>
    <mergeCell ref="F27:H27"/>
    <mergeCell ref="I22:K22"/>
    <mergeCell ref="I27:K27"/>
    <mergeCell ref="F35:H35"/>
    <mergeCell ref="N36:O36"/>
    <mergeCell ref="A39:O39"/>
    <mergeCell ref="F43:O43"/>
    <mergeCell ref="N37:O37"/>
    <mergeCell ref="L37:M37"/>
    <mergeCell ref="L34:M34"/>
    <mergeCell ref="I33:K33"/>
    <mergeCell ref="N34:O34"/>
    <mergeCell ref="F30:H30"/>
    <mergeCell ref="I34:K34"/>
    <mergeCell ref="I35:K35"/>
    <mergeCell ref="L35:M35"/>
    <mergeCell ref="N35:O35"/>
    <mergeCell ref="E86:G86"/>
    <mergeCell ref="K86:N86"/>
    <mergeCell ref="I20:K20"/>
    <mergeCell ref="I23:K23"/>
    <mergeCell ref="I26:K26"/>
    <mergeCell ref="N22:O22"/>
    <mergeCell ref="N23:O23"/>
    <mergeCell ref="N21:O21"/>
    <mergeCell ref="N24:O24"/>
    <mergeCell ref="L23:M23"/>
    <mergeCell ref="L24:M24"/>
    <mergeCell ref="C21:E21"/>
    <mergeCell ref="C31:E31"/>
    <mergeCell ref="C22:E22"/>
    <mergeCell ref="A57:C57"/>
    <mergeCell ref="A54:C54"/>
    <mergeCell ref="A56:C56"/>
    <mergeCell ref="B44:E44"/>
    <mergeCell ref="B43:E43"/>
    <mergeCell ref="N33:O33"/>
    <mergeCell ref="L30:M30"/>
    <mergeCell ref="L33:M33"/>
    <mergeCell ref="L36:M36"/>
    <mergeCell ref="F33:H33"/>
    <mergeCell ref="A12:B12"/>
    <mergeCell ref="C12:E12"/>
    <mergeCell ref="A13:B13"/>
    <mergeCell ref="C13:E13"/>
    <mergeCell ref="A30:B30"/>
    <mergeCell ref="A31:B31"/>
    <mergeCell ref="C30:E30"/>
    <mergeCell ref="A15:B15"/>
    <mergeCell ref="A16:B16"/>
    <mergeCell ref="C15:E15"/>
    <mergeCell ref="A14:B14"/>
    <mergeCell ref="C14:E14"/>
    <mergeCell ref="C16:E16"/>
    <mergeCell ref="C17:E17"/>
    <mergeCell ref="A17:B17"/>
    <mergeCell ref="A24:B24"/>
    <mergeCell ref="A29:B29"/>
    <mergeCell ref="A18:B18"/>
    <mergeCell ref="A19:B19"/>
    <mergeCell ref="C18:E18"/>
    <mergeCell ref="C19:E19"/>
    <mergeCell ref="A27:B27"/>
    <mergeCell ref="A22:B22"/>
    <mergeCell ref="A26:B26"/>
    <mergeCell ref="N12:O12"/>
    <mergeCell ref="I17:K17"/>
    <mergeCell ref="I15:K15"/>
    <mergeCell ref="I16:K16"/>
    <mergeCell ref="F14:H14"/>
    <mergeCell ref="I14:K14"/>
    <mergeCell ref="I13:K13"/>
    <mergeCell ref="L14:M14"/>
    <mergeCell ref="L16:M16"/>
    <mergeCell ref="L12:M12"/>
    <mergeCell ref="F12:H12"/>
    <mergeCell ref="F15:H15"/>
    <mergeCell ref="F16:H16"/>
    <mergeCell ref="I12:K12"/>
    <mergeCell ref="L13:M13"/>
    <mergeCell ref="N14:O14"/>
    <mergeCell ref="F17:H17"/>
    <mergeCell ref="F13:H13"/>
    <mergeCell ref="N13:O13"/>
    <mergeCell ref="L15:M15"/>
    <mergeCell ref="N17:O17"/>
    <mergeCell ref="N16:O16"/>
    <mergeCell ref="N15:O15"/>
    <mergeCell ref="L17:M17"/>
    <mergeCell ref="N10:O10"/>
    <mergeCell ref="N11:O11"/>
    <mergeCell ref="L10:M10"/>
    <mergeCell ref="A9:B9"/>
    <mergeCell ref="I10:K10"/>
    <mergeCell ref="N9:O9"/>
    <mergeCell ref="C9:E9"/>
    <mergeCell ref="F10:H10"/>
    <mergeCell ref="F11:H11"/>
    <mergeCell ref="A10:B10"/>
    <mergeCell ref="C10:E10"/>
    <mergeCell ref="A11:B11"/>
    <mergeCell ref="C11:E11"/>
    <mergeCell ref="I11:K11"/>
    <mergeCell ref="L11:M11"/>
    <mergeCell ref="A1:O1"/>
    <mergeCell ref="A2:O2"/>
    <mergeCell ref="A3:O3"/>
    <mergeCell ref="A4:O4"/>
    <mergeCell ref="L9:M9"/>
    <mergeCell ref="F9:H9"/>
    <mergeCell ref="I9:K9"/>
    <mergeCell ref="A5:O5"/>
    <mergeCell ref="A7:O7"/>
    <mergeCell ref="A75:C75"/>
    <mergeCell ref="A74:C74"/>
    <mergeCell ref="D74:E74"/>
    <mergeCell ref="B63:C63"/>
    <mergeCell ref="F63:G63"/>
    <mergeCell ref="A58:C58"/>
    <mergeCell ref="H62:J62"/>
    <mergeCell ref="F65:G65"/>
    <mergeCell ref="F66:G66"/>
    <mergeCell ref="B65:C65"/>
    <mergeCell ref="B66:C66"/>
    <mergeCell ref="D66:E66"/>
    <mergeCell ref="D65:E65"/>
    <mergeCell ref="B68:C68"/>
    <mergeCell ref="H65:J65"/>
    <mergeCell ref="B67:C67"/>
    <mergeCell ref="D68:E68"/>
    <mergeCell ref="F68:G68"/>
    <mergeCell ref="F75:G75"/>
    <mergeCell ref="B64:C64"/>
    <mergeCell ref="K62:L62"/>
    <mergeCell ref="M62:O62"/>
    <mergeCell ref="A60:O60"/>
    <mergeCell ref="F62:G62"/>
    <mergeCell ref="D64:E64"/>
    <mergeCell ref="D63:E63"/>
    <mergeCell ref="M64:O64"/>
    <mergeCell ref="H64:J64"/>
    <mergeCell ref="H63:J63"/>
    <mergeCell ref="F64:G64"/>
    <mergeCell ref="K64:L64"/>
    <mergeCell ref="K63:L63"/>
    <mergeCell ref="M63:O63"/>
    <mergeCell ref="D62:E62"/>
    <mergeCell ref="A76:C76"/>
    <mergeCell ref="H76:I76"/>
    <mergeCell ref="F79:G79"/>
    <mergeCell ref="D79:E79"/>
    <mergeCell ref="H77:I77"/>
    <mergeCell ref="A80:C80"/>
    <mergeCell ref="D76:E76"/>
    <mergeCell ref="F76:G76"/>
    <mergeCell ref="H79:I79"/>
    <mergeCell ref="J73:K73"/>
    <mergeCell ref="F74:G74"/>
    <mergeCell ref="D75:E75"/>
    <mergeCell ref="D72:E73"/>
    <mergeCell ref="F73:G73"/>
    <mergeCell ref="A72:C73"/>
    <mergeCell ref="A84:C84"/>
    <mergeCell ref="D77:E77"/>
    <mergeCell ref="F77:G77"/>
    <mergeCell ref="A82:C82"/>
    <mergeCell ref="D80:E80"/>
    <mergeCell ref="F80:G80"/>
    <mergeCell ref="A81:C81"/>
    <mergeCell ref="D81:E81"/>
    <mergeCell ref="D82:E82"/>
    <mergeCell ref="A79:C79"/>
    <mergeCell ref="A83:C83"/>
    <mergeCell ref="A78:C78"/>
    <mergeCell ref="F81:G81"/>
    <mergeCell ref="D78:E78"/>
    <mergeCell ref="F78:G78"/>
    <mergeCell ref="A77:C77"/>
    <mergeCell ref="F82:G82"/>
    <mergeCell ref="D84:E84"/>
    <mergeCell ref="D67:E67"/>
    <mergeCell ref="F67:G67"/>
    <mergeCell ref="H67:J67"/>
    <mergeCell ref="H68:J68"/>
    <mergeCell ref="H80:I80"/>
    <mergeCell ref="H78:I78"/>
    <mergeCell ref="K65:L65"/>
    <mergeCell ref="M65:O65"/>
    <mergeCell ref="H75:I75"/>
    <mergeCell ref="L74:M74"/>
    <mergeCell ref="N74:O74"/>
    <mergeCell ref="M66:O66"/>
    <mergeCell ref="H66:J66"/>
    <mergeCell ref="N72:O73"/>
    <mergeCell ref="M67:O67"/>
    <mergeCell ref="K67:L67"/>
    <mergeCell ref="M68:O68"/>
    <mergeCell ref="F72:I72"/>
    <mergeCell ref="A70:O70"/>
    <mergeCell ref="K68:L68"/>
    <mergeCell ref="K66:L66"/>
    <mergeCell ref="J72:M72"/>
    <mergeCell ref="H73:I73"/>
    <mergeCell ref="L73:M73"/>
    <mergeCell ref="N75:O75"/>
    <mergeCell ref="N80:O80"/>
    <mergeCell ref="N81:O81"/>
    <mergeCell ref="N76:O76"/>
    <mergeCell ref="N77:O77"/>
    <mergeCell ref="L76:M76"/>
    <mergeCell ref="H82:I82"/>
    <mergeCell ref="H74:I74"/>
    <mergeCell ref="J74:K74"/>
    <mergeCell ref="J77:K77"/>
    <mergeCell ref="J81:K81"/>
    <mergeCell ref="H81:I81"/>
    <mergeCell ref="J75:K75"/>
    <mergeCell ref="L75:M75"/>
    <mergeCell ref="J82:K82"/>
    <mergeCell ref="J76:K76"/>
    <mergeCell ref="L77:M77"/>
    <mergeCell ref="L78:M78"/>
    <mergeCell ref="L81:M81"/>
    <mergeCell ref="L82:M82"/>
    <mergeCell ref="H84:I84"/>
    <mergeCell ref="J84:K84"/>
    <mergeCell ref="D83:E83"/>
    <mergeCell ref="F83:G83"/>
    <mergeCell ref="H83:I83"/>
    <mergeCell ref="J83:K83"/>
    <mergeCell ref="N84:O84"/>
    <mergeCell ref="J79:K79"/>
    <mergeCell ref="J78:K78"/>
    <mergeCell ref="N82:O82"/>
    <mergeCell ref="L79:M79"/>
    <mergeCell ref="L80:M80"/>
    <mergeCell ref="L84:M84"/>
    <mergeCell ref="L83:M83"/>
    <mergeCell ref="J80:K80"/>
    <mergeCell ref="N83:O83"/>
    <mergeCell ref="N78:O78"/>
    <mergeCell ref="N79:O79"/>
    <mergeCell ref="F84:G84"/>
    <mergeCell ref="I36:K36"/>
    <mergeCell ref="A37:B37"/>
    <mergeCell ref="C34:E34"/>
    <mergeCell ref="C35:E35"/>
    <mergeCell ref="A34:B34"/>
    <mergeCell ref="A53:C53"/>
    <mergeCell ref="A35:B35"/>
    <mergeCell ref="C36:E36"/>
    <mergeCell ref="C37:E37"/>
    <mergeCell ref="A51:C52"/>
    <mergeCell ref="B45:E45"/>
    <mergeCell ref="A36:B36"/>
    <mergeCell ref="F36:H36"/>
    <mergeCell ref="F45:O45"/>
    <mergeCell ref="B46:E46"/>
    <mergeCell ref="F46:O46"/>
    <mergeCell ref="B47:E47"/>
    <mergeCell ref="F47:O47"/>
    <mergeCell ref="B48:E48"/>
    <mergeCell ref="A33:B33"/>
    <mergeCell ref="C32:E32"/>
    <mergeCell ref="I28:K28"/>
    <mergeCell ref="I29:K29"/>
    <mergeCell ref="I30:K30"/>
    <mergeCell ref="N31:O31"/>
    <mergeCell ref="I32:K32"/>
    <mergeCell ref="L29:M29"/>
    <mergeCell ref="A28:B28"/>
    <mergeCell ref="C28:E28"/>
    <mergeCell ref="C29:E29"/>
    <mergeCell ref="A32:B32"/>
    <mergeCell ref="L31:M31"/>
    <mergeCell ref="I31:K31"/>
    <mergeCell ref="F31:H31"/>
    <mergeCell ref="N30:O30"/>
    <mergeCell ref="N32:O32"/>
    <mergeCell ref="L32:M32"/>
    <mergeCell ref="F32:H32"/>
    <mergeCell ref="L28:M28"/>
    <mergeCell ref="N28:O28"/>
    <mergeCell ref="C33:E33"/>
    <mergeCell ref="A25:B25"/>
    <mergeCell ref="C25:E25"/>
    <mergeCell ref="C24:E24"/>
    <mergeCell ref="A23:B23"/>
    <mergeCell ref="C23:E23"/>
    <mergeCell ref="C20:E20"/>
    <mergeCell ref="A21:B21"/>
    <mergeCell ref="A20:B20"/>
    <mergeCell ref="F24:H24"/>
    <mergeCell ref="F21:H21"/>
    <mergeCell ref="F22:H22"/>
    <mergeCell ref="N29:O29"/>
    <mergeCell ref="F28:H28"/>
    <mergeCell ref="F29:H29"/>
    <mergeCell ref="L21:M21"/>
    <mergeCell ref="L22:M22"/>
    <mergeCell ref="I21:K21"/>
    <mergeCell ref="I24:K24"/>
    <mergeCell ref="N18:O18"/>
    <mergeCell ref="N19:O19"/>
    <mergeCell ref="L18:M18"/>
    <mergeCell ref="N20:O20"/>
    <mergeCell ref="L20:M20"/>
    <mergeCell ref="N27:O27"/>
    <mergeCell ref="N26:O26"/>
    <mergeCell ref="N25:O25"/>
    <mergeCell ref="L25:M25"/>
    <mergeCell ref="F20:H20"/>
    <mergeCell ref="F26:H26"/>
    <mergeCell ref="E87:G87"/>
    <mergeCell ref="K87:M87"/>
    <mergeCell ref="I19:K19"/>
    <mergeCell ref="L19:M19"/>
    <mergeCell ref="I18:K18"/>
    <mergeCell ref="F18:H18"/>
    <mergeCell ref="F19:H19"/>
    <mergeCell ref="F25:H25"/>
    <mergeCell ref="I25:K25"/>
    <mergeCell ref="F23:H23"/>
    <mergeCell ref="C26:E26"/>
    <mergeCell ref="C27:E27"/>
    <mergeCell ref="G51:I51"/>
    <mergeCell ref="B62:C62"/>
    <mergeCell ref="A41:O41"/>
    <mergeCell ref="F48:O48"/>
    <mergeCell ref="F37:H37"/>
    <mergeCell ref="F34:H34"/>
    <mergeCell ref="I37:K37"/>
    <mergeCell ref="F44:O44"/>
    <mergeCell ref="J51:L51"/>
    <mergeCell ref="A49:J49"/>
    <mergeCell ref="D51:F51"/>
    <mergeCell ref="M51:O51"/>
  </mergeCells>
  <phoneticPr fontId="3" type="noConversion"/>
  <pageMargins left="0.59055118110236227" right="0.59055118110236227" top="0.59055118110236227" bottom="0.59055118110236227" header="0.31496062992125984" footer="0.15748031496062992"/>
  <pageSetup paperSize="9" scale="48" orientation="landscape" horizontalDpi="300" verticalDpi="3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40" max="14" man="1"/>
  </rowBreaks>
  <ignoredErrors>
    <ignoredError sqref="M54:O54 D29:E29 D37:E37 N11:O11 D36:E36" evalError="1"/>
    <ignoredError sqref="D58:G58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4"/>
  <sheetViews>
    <sheetView view="pageBreakPreview" zoomScale="66" zoomScaleNormal="63" zoomScaleSheetLayoutView="66" workbookViewId="0">
      <selection activeCell="X75" sqref="X75"/>
    </sheetView>
  </sheetViews>
  <sheetFormatPr defaultRowHeight="18.75"/>
  <cols>
    <col min="1" max="1" width="7.85546875" style="2" customWidth="1"/>
    <col min="2" max="2" width="4.42578125" style="2" customWidth="1"/>
    <col min="3" max="3" width="25.28515625" style="2" customWidth="1"/>
    <col min="4" max="6" width="8.42578125" style="2" customWidth="1"/>
    <col min="7" max="7" width="10" style="2" customWidth="1"/>
    <col min="8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297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434" t="s">
        <v>444</v>
      </c>
      <c r="B3" s="417" t="s">
        <v>135</v>
      </c>
      <c r="C3" s="419"/>
      <c r="D3" s="362" t="s">
        <v>136</v>
      </c>
      <c r="E3" s="363"/>
      <c r="F3" s="363"/>
      <c r="G3" s="362" t="s">
        <v>219</v>
      </c>
      <c r="H3" s="363"/>
      <c r="I3" s="363"/>
      <c r="J3" s="363"/>
      <c r="K3" s="363"/>
      <c r="L3" s="363"/>
      <c r="M3" s="363"/>
      <c r="N3" s="363"/>
      <c r="O3" s="363"/>
      <c r="P3" s="363"/>
      <c r="Q3" s="364"/>
      <c r="R3" s="376" t="s">
        <v>137</v>
      </c>
      <c r="S3" s="389"/>
      <c r="T3" s="389"/>
      <c r="U3" s="389"/>
      <c r="V3" s="389"/>
      <c r="W3" s="389"/>
      <c r="X3" s="389"/>
      <c r="Y3" s="389"/>
      <c r="Z3" s="377"/>
      <c r="AA3" s="283" t="s">
        <v>379</v>
      </c>
      <c r="AB3" s="282"/>
      <c r="AC3" s="282"/>
      <c r="AD3" s="283" t="s">
        <v>380</v>
      </c>
      <c r="AE3" s="282"/>
      <c r="AF3" s="282"/>
    </row>
    <row r="4" spans="1:32" ht="77.25" customHeight="1">
      <c r="A4" s="436"/>
      <c r="B4" s="423"/>
      <c r="C4" s="425"/>
      <c r="D4" s="365"/>
      <c r="E4" s="366"/>
      <c r="F4" s="366"/>
      <c r="G4" s="365"/>
      <c r="H4" s="366"/>
      <c r="I4" s="366"/>
      <c r="J4" s="366"/>
      <c r="K4" s="366"/>
      <c r="L4" s="366"/>
      <c r="M4" s="366"/>
      <c r="N4" s="366"/>
      <c r="O4" s="366"/>
      <c r="P4" s="366"/>
      <c r="Q4" s="367"/>
      <c r="R4" s="359" t="s">
        <v>326</v>
      </c>
      <c r="S4" s="360"/>
      <c r="T4" s="361"/>
      <c r="U4" s="359" t="s">
        <v>327</v>
      </c>
      <c r="V4" s="360"/>
      <c r="W4" s="361"/>
      <c r="X4" s="359" t="s">
        <v>328</v>
      </c>
      <c r="Y4" s="360"/>
      <c r="Z4" s="361"/>
      <c r="AA4" s="282"/>
      <c r="AB4" s="282"/>
      <c r="AC4" s="282"/>
      <c r="AD4" s="282"/>
      <c r="AE4" s="282"/>
      <c r="AF4" s="282"/>
    </row>
    <row r="5" spans="1:32" ht="18.75" customHeight="1">
      <c r="A5" s="103">
        <v>1</v>
      </c>
      <c r="B5" s="470">
        <v>2</v>
      </c>
      <c r="C5" s="471"/>
      <c r="D5" s="456">
        <v>3</v>
      </c>
      <c r="E5" s="459"/>
      <c r="F5" s="459"/>
      <c r="G5" s="456">
        <v>4</v>
      </c>
      <c r="H5" s="459"/>
      <c r="I5" s="459"/>
      <c r="J5" s="459"/>
      <c r="K5" s="459"/>
      <c r="L5" s="459"/>
      <c r="M5" s="459"/>
      <c r="N5" s="459"/>
      <c r="O5" s="459"/>
      <c r="P5" s="459"/>
      <c r="Q5" s="457"/>
      <c r="R5" s="456">
        <v>5</v>
      </c>
      <c r="S5" s="459"/>
      <c r="T5" s="457"/>
      <c r="U5" s="456">
        <v>6</v>
      </c>
      <c r="V5" s="459"/>
      <c r="W5" s="457"/>
      <c r="X5" s="472">
        <v>7</v>
      </c>
      <c r="Y5" s="473"/>
      <c r="Z5" s="474"/>
      <c r="AA5" s="472">
        <v>8</v>
      </c>
      <c r="AB5" s="473"/>
      <c r="AC5" s="474"/>
      <c r="AD5" s="472">
        <v>9</v>
      </c>
      <c r="AE5" s="473"/>
      <c r="AF5" s="474"/>
    </row>
    <row r="6" spans="1:32" ht="20.100000000000001" customHeight="1">
      <c r="A6" s="103"/>
      <c r="B6" s="452"/>
      <c r="C6" s="453"/>
      <c r="D6" s="461"/>
      <c r="E6" s="462"/>
      <c r="F6" s="462"/>
      <c r="G6" s="461"/>
      <c r="H6" s="462"/>
      <c r="I6" s="462"/>
      <c r="J6" s="462"/>
      <c r="K6" s="462"/>
      <c r="L6" s="462"/>
      <c r="M6" s="462"/>
      <c r="N6" s="462"/>
      <c r="O6" s="462"/>
      <c r="P6" s="462"/>
      <c r="Q6" s="463"/>
      <c r="R6" s="372"/>
      <c r="S6" s="469"/>
      <c r="T6" s="373"/>
      <c r="U6" s="372"/>
      <c r="V6" s="469"/>
      <c r="W6" s="373"/>
      <c r="X6" s="372"/>
      <c r="Y6" s="469"/>
      <c r="Z6" s="373"/>
      <c r="AA6" s="372">
        <f>X6-U6</f>
        <v>0</v>
      </c>
      <c r="AB6" s="469"/>
      <c r="AC6" s="373"/>
      <c r="AD6" s="475" t="e">
        <f>(X6/U6)*100</f>
        <v>#DIV/0!</v>
      </c>
      <c r="AE6" s="476"/>
      <c r="AF6" s="477"/>
    </row>
    <row r="7" spans="1:32" ht="20.100000000000001" customHeight="1">
      <c r="A7" s="103"/>
      <c r="B7" s="452"/>
      <c r="C7" s="453"/>
      <c r="D7" s="461"/>
      <c r="E7" s="462"/>
      <c r="F7" s="462"/>
      <c r="G7" s="461"/>
      <c r="H7" s="462"/>
      <c r="I7" s="462"/>
      <c r="J7" s="462"/>
      <c r="K7" s="462"/>
      <c r="L7" s="462"/>
      <c r="M7" s="462"/>
      <c r="N7" s="462"/>
      <c r="O7" s="462"/>
      <c r="P7" s="462"/>
      <c r="Q7" s="463"/>
      <c r="R7" s="372"/>
      <c r="S7" s="469"/>
      <c r="T7" s="373"/>
      <c r="U7" s="372"/>
      <c r="V7" s="469"/>
      <c r="W7" s="373"/>
      <c r="X7" s="372"/>
      <c r="Y7" s="469"/>
      <c r="Z7" s="373"/>
      <c r="AA7" s="372">
        <f>X7-U7</f>
        <v>0</v>
      </c>
      <c r="AB7" s="469"/>
      <c r="AC7" s="373"/>
      <c r="AD7" s="475" t="e">
        <f>(X7/U7)*100</f>
        <v>#DIV/0!</v>
      </c>
      <c r="AE7" s="476"/>
      <c r="AF7" s="477"/>
    </row>
    <row r="8" spans="1:32" ht="20.100000000000001" customHeight="1">
      <c r="A8" s="103"/>
      <c r="B8" s="452"/>
      <c r="C8" s="453"/>
      <c r="D8" s="461"/>
      <c r="E8" s="462"/>
      <c r="F8" s="462"/>
      <c r="G8" s="461"/>
      <c r="H8" s="462"/>
      <c r="I8" s="462"/>
      <c r="J8" s="462"/>
      <c r="K8" s="462"/>
      <c r="L8" s="462"/>
      <c r="M8" s="462"/>
      <c r="N8" s="462"/>
      <c r="O8" s="462"/>
      <c r="P8" s="462"/>
      <c r="Q8" s="463"/>
      <c r="R8" s="372"/>
      <c r="S8" s="469"/>
      <c r="T8" s="373"/>
      <c r="U8" s="372"/>
      <c r="V8" s="469"/>
      <c r="W8" s="373"/>
      <c r="X8" s="372"/>
      <c r="Y8" s="469"/>
      <c r="Z8" s="373"/>
      <c r="AA8" s="372">
        <f>X8-U8</f>
        <v>0</v>
      </c>
      <c r="AB8" s="469"/>
      <c r="AC8" s="373"/>
      <c r="AD8" s="475" t="e">
        <f>(X8/U8)*100</f>
        <v>#DIV/0!</v>
      </c>
      <c r="AE8" s="476"/>
      <c r="AF8" s="477"/>
    </row>
    <row r="9" spans="1:32" ht="20.100000000000001" customHeight="1">
      <c r="A9" s="103"/>
      <c r="B9" s="452"/>
      <c r="C9" s="453"/>
      <c r="D9" s="461"/>
      <c r="E9" s="462"/>
      <c r="F9" s="462"/>
      <c r="G9" s="461"/>
      <c r="H9" s="462"/>
      <c r="I9" s="462"/>
      <c r="J9" s="462"/>
      <c r="K9" s="462"/>
      <c r="L9" s="462"/>
      <c r="M9" s="462"/>
      <c r="N9" s="462"/>
      <c r="O9" s="462"/>
      <c r="P9" s="462"/>
      <c r="Q9" s="463"/>
      <c r="R9" s="372"/>
      <c r="S9" s="469"/>
      <c r="T9" s="373"/>
      <c r="U9" s="372"/>
      <c r="V9" s="469"/>
      <c r="W9" s="373"/>
      <c r="X9" s="372"/>
      <c r="Y9" s="469"/>
      <c r="Z9" s="373"/>
      <c r="AA9" s="372">
        <f>X9-U9</f>
        <v>0</v>
      </c>
      <c r="AB9" s="469"/>
      <c r="AC9" s="373"/>
      <c r="AD9" s="475" t="e">
        <f>(X9/U9)*100</f>
        <v>#DIV/0!</v>
      </c>
      <c r="AE9" s="476"/>
      <c r="AF9" s="477"/>
    </row>
    <row r="10" spans="1:32" ht="24.95" customHeight="1">
      <c r="A10" s="445" t="s">
        <v>49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7"/>
      <c r="R10" s="370">
        <f>SUM(R6:R9)</f>
        <v>0</v>
      </c>
      <c r="S10" s="478"/>
      <c r="T10" s="371"/>
      <c r="U10" s="370">
        <f>SUM(U6:U9)</f>
        <v>0</v>
      </c>
      <c r="V10" s="478"/>
      <c r="W10" s="371"/>
      <c r="X10" s="370">
        <f>SUM(X6:X9)</f>
        <v>0</v>
      </c>
      <c r="Y10" s="478"/>
      <c r="Z10" s="371"/>
      <c r="AA10" s="372">
        <f>X10-U10</f>
        <v>0</v>
      </c>
      <c r="AB10" s="469"/>
      <c r="AC10" s="373"/>
      <c r="AD10" s="475" t="e">
        <f>(X10/U10)*100</f>
        <v>#DIV/0!</v>
      </c>
      <c r="AE10" s="476"/>
      <c r="AF10" s="477"/>
    </row>
    <row r="11" spans="1:32" ht="11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8"/>
      <c r="AF11" s="108"/>
    </row>
    <row r="12" spans="1:32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9"/>
      <c r="AF12" s="109"/>
    </row>
    <row r="13" spans="1:32" s="42" customFormat="1" ht="18.75" customHeight="1">
      <c r="C13" s="42" t="s">
        <v>298</v>
      </c>
    </row>
    <row r="14" spans="1:32" s="42" customFormat="1" ht="18.75" customHeight="1"/>
    <row r="15" spans="1:32" ht="45.75" customHeight="1">
      <c r="A15" s="310" t="s">
        <v>444</v>
      </c>
      <c r="B15" s="417" t="s">
        <v>138</v>
      </c>
      <c r="C15" s="419"/>
      <c r="D15" s="283" t="s">
        <v>135</v>
      </c>
      <c r="E15" s="283"/>
      <c r="F15" s="283"/>
      <c r="G15" s="283"/>
      <c r="H15" s="362" t="s">
        <v>219</v>
      </c>
      <c r="I15" s="363"/>
      <c r="J15" s="363"/>
      <c r="K15" s="363"/>
      <c r="L15" s="363"/>
      <c r="M15" s="363"/>
      <c r="N15" s="363"/>
      <c r="O15" s="364"/>
      <c r="P15" s="362" t="s">
        <v>325</v>
      </c>
      <c r="Q15" s="364"/>
      <c r="R15" s="376" t="s">
        <v>137</v>
      </c>
      <c r="S15" s="389"/>
      <c r="T15" s="389"/>
      <c r="U15" s="389"/>
      <c r="V15" s="389"/>
      <c r="W15" s="389"/>
      <c r="X15" s="389"/>
      <c r="Y15" s="389"/>
      <c r="Z15" s="377"/>
      <c r="AA15" s="283" t="s">
        <v>379</v>
      </c>
      <c r="AB15" s="282"/>
      <c r="AC15" s="282"/>
      <c r="AD15" s="283" t="s">
        <v>380</v>
      </c>
      <c r="AE15" s="282"/>
      <c r="AF15" s="282"/>
    </row>
    <row r="16" spans="1:32" ht="24.95" customHeight="1">
      <c r="A16" s="310"/>
      <c r="B16" s="420"/>
      <c r="C16" s="422"/>
      <c r="D16" s="283"/>
      <c r="E16" s="283"/>
      <c r="F16" s="283"/>
      <c r="G16" s="283"/>
      <c r="H16" s="442"/>
      <c r="I16" s="489"/>
      <c r="J16" s="489"/>
      <c r="K16" s="489"/>
      <c r="L16" s="489"/>
      <c r="M16" s="489"/>
      <c r="N16" s="489"/>
      <c r="O16" s="443"/>
      <c r="P16" s="442"/>
      <c r="Q16" s="443"/>
      <c r="R16" s="362" t="s">
        <v>326</v>
      </c>
      <c r="S16" s="363"/>
      <c r="T16" s="364"/>
      <c r="U16" s="362" t="s">
        <v>327</v>
      </c>
      <c r="V16" s="363"/>
      <c r="W16" s="364"/>
      <c r="X16" s="362" t="s">
        <v>328</v>
      </c>
      <c r="Y16" s="490"/>
      <c r="Z16" s="491"/>
      <c r="AA16" s="282"/>
      <c r="AB16" s="282"/>
      <c r="AC16" s="282"/>
      <c r="AD16" s="282"/>
      <c r="AE16" s="282"/>
      <c r="AF16" s="282"/>
    </row>
    <row r="17" spans="1:32" ht="48" customHeight="1">
      <c r="A17" s="310"/>
      <c r="B17" s="423"/>
      <c r="C17" s="425"/>
      <c r="D17" s="283"/>
      <c r="E17" s="283"/>
      <c r="F17" s="283"/>
      <c r="G17" s="283"/>
      <c r="H17" s="365"/>
      <c r="I17" s="366"/>
      <c r="J17" s="366"/>
      <c r="K17" s="366"/>
      <c r="L17" s="366"/>
      <c r="M17" s="366"/>
      <c r="N17" s="366"/>
      <c r="O17" s="367"/>
      <c r="P17" s="365"/>
      <c r="Q17" s="367"/>
      <c r="R17" s="365"/>
      <c r="S17" s="366"/>
      <c r="T17" s="367"/>
      <c r="U17" s="365"/>
      <c r="V17" s="366"/>
      <c r="W17" s="367"/>
      <c r="X17" s="492"/>
      <c r="Y17" s="493"/>
      <c r="Z17" s="494"/>
      <c r="AA17" s="282"/>
      <c r="AB17" s="282"/>
      <c r="AC17" s="282"/>
      <c r="AD17" s="282"/>
      <c r="AE17" s="282"/>
      <c r="AF17" s="282"/>
    </row>
    <row r="18" spans="1:32" ht="18.75" customHeight="1">
      <c r="A18" s="65">
        <v>1</v>
      </c>
      <c r="B18" s="470">
        <v>2</v>
      </c>
      <c r="C18" s="471"/>
      <c r="D18" s="458">
        <v>3</v>
      </c>
      <c r="E18" s="458"/>
      <c r="F18" s="458"/>
      <c r="G18" s="458"/>
      <c r="H18" s="456">
        <v>4</v>
      </c>
      <c r="I18" s="459"/>
      <c r="J18" s="459"/>
      <c r="K18" s="459"/>
      <c r="L18" s="459"/>
      <c r="M18" s="459"/>
      <c r="N18" s="459"/>
      <c r="O18" s="457"/>
      <c r="P18" s="456">
        <v>5</v>
      </c>
      <c r="Q18" s="457"/>
      <c r="R18" s="456">
        <v>6</v>
      </c>
      <c r="S18" s="459"/>
      <c r="T18" s="457"/>
      <c r="U18" s="456">
        <v>7</v>
      </c>
      <c r="V18" s="459"/>
      <c r="W18" s="457"/>
      <c r="X18" s="456">
        <v>8</v>
      </c>
      <c r="Y18" s="459"/>
      <c r="Z18" s="457"/>
      <c r="AA18" s="456">
        <v>9</v>
      </c>
      <c r="AB18" s="459"/>
      <c r="AC18" s="457"/>
      <c r="AD18" s="456">
        <v>10</v>
      </c>
      <c r="AE18" s="459"/>
      <c r="AF18" s="457"/>
    </row>
    <row r="19" spans="1:32" ht="20.100000000000001" customHeight="1">
      <c r="A19" s="94"/>
      <c r="B19" s="467"/>
      <c r="C19" s="468"/>
      <c r="D19" s="460"/>
      <c r="E19" s="460"/>
      <c r="F19" s="460"/>
      <c r="G19" s="460"/>
      <c r="H19" s="464"/>
      <c r="I19" s="465"/>
      <c r="J19" s="465"/>
      <c r="K19" s="465"/>
      <c r="L19" s="465"/>
      <c r="M19" s="465"/>
      <c r="N19" s="465"/>
      <c r="O19" s="466"/>
      <c r="P19" s="454"/>
      <c r="Q19" s="455"/>
      <c r="R19" s="372"/>
      <c r="S19" s="469"/>
      <c r="T19" s="373"/>
      <c r="U19" s="372"/>
      <c r="V19" s="469"/>
      <c r="W19" s="373"/>
      <c r="X19" s="372"/>
      <c r="Y19" s="469"/>
      <c r="Z19" s="373"/>
      <c r="AA19" s="372">
        <f>X19-U19</f>
        <v>0</v>
      </c>
      <c r="AB19" s="469"/>
      <c r="AC19" s="373"/>
      <c r="AD19" s="475" t="e">
        <f>(X19/U19)*100</f>
        <v>#DIV/0!</v>
      </c>
      <c r="AE19" s="476"/>
      <c r="AF19" s="477"/>
    </row>
    <row r="20" spans="1:32" ht="20.100000000000001" customHeight="1">
      <c r="A20" s="94"/>
      <c r="B20" s="467"/>
      <c r="C20" s="468"/>
      <c r="D20" s="460"/>
      <c r="E20" s="460"/>
      <c r="F20" s="460"/>
      <c r="G20" s="460"/>
      <c r="H20" s="464"/>
      <c r="I20" s="465"/>
      <c r="J20" s="465"/>
      <c r="K20" s="465"/>
      <c r="L20" s="465"/>
      <c r="M20" s="465"/>
      <c r="N20" s="465"/>
      <c r="O20" s="466"/>
      <c r="P20" s="454"/>
      <c r="Q20" s="455"/>
      <c r="R20" s="372"/>
      <c r="S20" s="469"/>
      <c r="T20" s="373"/>
      <c r="U20" s="372"/>
      <c r="V20" s="469"/>
      <c r="W20" s="373"/>
      <c r="X20" s="372"/>
      <c r="Y20" s="469"/>
      <c r="Z20" s="373"/>
      <c r="AA20" s="372">
        <f>X20-U20</f>
        <v>0</v>
      </c>
      <c r="AB20" s="469"/>
      <c r="AC20" s="373"/>
      <c r="AD20" s="475" t="e">
        <f>(X20/U20)*100</f>
        <v>#DIV/0!</v>
      </c>
      <c r="AE20" s="476"/>
      <c r="AF20" s="477"/>
    </row>
    <row r="21" spans="1:32" ht="20.100000000000001" customHeight="1">
      <c r="A21" s="94"/>
      <c r="B21" s="467"/>
      <c r="C21" s="468"/>
      <c r="D21" s="460"/>
      <c r="E21" s="460"/>
      <c r="F21" s="460"/>
      <c r="G21" s="460"/>
      <c r="H21" s="464"/>
      <c r="I21" s="465"/>
      <c r="J21" s="465"/>
      <c r="K21" s="465"/>
      <c r="L21" s="465"/>
      <c r="M21" s="465"/>
      <c r="N21" s="465"/>
      <c r="O21" s="466"/>
      <c r="P21" s="454"/>
      <c r="Q21" s="455"/>
      <c r="R21" s="372"/>
      <c r="S21" s="469"/>
      <c r="T21" s="373"/>
      <c r="U21" s="372"/>
      <c r="V21" s="469"/>
      <c r="W21" s="373"/>
      <c r="X21" s="372"/>
      <c r="Y21" s="469"/>
      <c r="Z21" s="373"/>
      <c r="AA21" s="372">
        <f>X21-U21</f>
        <v>0</v>
      </c>
      <c r="AB21" s="469"/>
      <c r="AC21" s="373"/>
      <c r="AD21" s="475" t="e">
        <f>(X21/U21)*100</f>
        <v>#DIV/0!</v>
      </c>
      <c r="AE21" s="476"/>
      <c r="AF21" s="477"/>
    </row>
    <row r="22" spans="1:32" ht="20.100000000000001" customHeight="1">
      <c r="A22" s="94"/>
      <c r="B22" s="467"/>
      <c r="C22" s="468"/>
      <c r="D22" s="460"/>
      <c r="E22" s="460"/>
      <c r="F22" s="460"/>
      <c r="G22" s="460"/>
      <c r="H22" s="464"/>
      <c r="I22" s="465"/>
      <c r="J22" s="465"/>
      <c r="K22" s="465"/>
      <c r="L22" s="465"/>
      <c r="M22" s="465"/>
      <c r="N22" s="465"/>
      <c r="O22" s="466"/>
      <c r="P22" s="454"/>
      <c r="Q22" s="455"/>
      <c r="R22" s="372"/>
      <c r="S22" s="469"/>
      <c r="T22" s="373"/>
      <c r="U22" s="372"/>
      <c r="V22" s="469"/>
      <c r="W22" s="373"/>
      <c r="X22" s="372"/>
      <c r="Y22" s="469"/>
      <c r="Z22" s="373"/>
      <c r="AA22" s="372">
        <f>X22-U22</f>
        <v>0</v>
      </c>
      <c r="AB22" s="469"/>
      <c r="AC22" s="373"/>
      <c r="AD22" s="475" t="e">
        <f>(X22/U22)*100</f>
        <v>#DIV/0!</v>
      </c>
      <c r="AE22" s="476"/>
      <c r="AF22" s="477"/>
    </row>
    <row r="23" spans="1:32" ht="24.95" customHeight="1">
      <c r="A23" s="445" t="s">
        <v>49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7"/>
      <c r="R23" s="370">
        <f>SUM(R19:R22)</f>
        <v>0</v>
      </c>
      <c r="S23" s="478"/>
      <c r="T23" s="371"/>
      <c r="U23" s="370">
        <f>SUM(U19:U22)</f>
        <v>0</v>
      </c>
      <c r="V23" s="478"/>
      <c r="W23" s="371"/>
      <c r="X23" s="370">
        <f>SUM(X19:X22)</f>
        <v>0</v>
      </c>
      <c r="Y23" s="478"/>
      <c r="Z23" s="371"/>
      <c r="AA23" s="372">
        <f>X23-U23</f>
        <v>0</v>
      </c>
      <c r="AB23" s="469"/>
      <c r="AC23" s="373"/>
      <c r="AD23" s="475" t="e">
        <f>(X23/U23)*100</f>
        <v>#DIV/0!</v>
      </c>
      <c r="AE23" s="476"/>
      <c r="AF23" s="477"/>
    </row>
    <row r="24" spans="1:3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R24" s="28"/>
      <c r="S24" s="28"/>
      <c r="T24" s="28"/>
      <c r="U24" s="28"/>
      <c r="V24" s="28"/>
      <c r="AF24" s="28"/>
    </row>
    <row r="25" spans="1:32" ht="16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R25" s="28"/>
      <c r="S25" s="28"/>
      <c r="T25" s="28"/>
      <c r="U25" s="28"/>
      <c r="V25" s="28"/>
      <c r="AF25" s="28"/>
    </row>
    <row r="26" spans="1:32" s="42" customFormat="1" ht="18.75" customHeight="1">
      <c r="C26" s="42" t="s">
        <v>146</v>
      </c>
    </row>
    <row r="27" spans="1:32">
      <c r="A27" s="25"/>
      <c r="B27" s="25"/>
      <c r="C27" s="25"/>
      <c r="D27" s="25"/>
      <c r="E27" s="25"/>
      <c r="F27" s="25"/>
      <c r="G27" s="25"/>
      <c r="H27" s="2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5"/>
      <c r="Z27" s="430"/>
      <c r="AA27" s="430"/>
      <c r="AB27" s="430"/>
      <c r="AD27" s="429" t="s">
        <v>381</v>
      </c>
      <c r="AE27" s="429"/>
      <c r="AF27" s="429"/>
    </row>
    <row r="28" spans="1:32" ht="24.95" customHeight="1">
      <c r="A28" s="434" t="s">
        <v>444</v>
      </c>
      <c r="B28" s="417" t="s">
        <v>169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9"/>
      <c r="M28" s="426" t="s">
        <v>48</v>
      </c>
      <c r="N28" s="427"/>
      <c r="O28" s="427"/>
      <c r="P28" s="428"/>
      <c r="Q28" s="426" t="s">
        <v>76</v>
      </c>
      <c r="R28" s="427"/>
      <c r="S28" s="427"/>
      <c r="T28" s="428"/>
      <c r="U28" s="426" t="s">
        <v>202</v>
      </c>
      <c r="V28" s="427"/>
      <c r="W28" s="427"/>
      <c r="X28" s="428"/>
      <c r="Y28" s="426" t="s">
        <v>104</v>
      </c>
      <c r="Z28" s="427"/>
      <c r="AA28" s="427"/>
      <c r="AB28" s="428"/>
      <c r="AC28" s="426" t="s">
        <v>49</v>
      </c>
      <c r="AD28" s="427"/>
      <c r="AE28" s="427"/>
      <c r="AF28" s="428"/>
    </row>
    <row r="29" spans="1:32" ht="24.95" customHeight="1">
      <c r="A29" s="435"/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2"/>
      <c r="M29" s="415" t="s">
        <v>165</v>
      </c>
      <c r="N29" s="415" t="s">
        <v>166</v>
      </c>
      <c r="O29" s="415" t="s">
        <v>184</v>
      </c>
      <c r="P29" s="415" t="s">
        <v>185</v>
      </c>
      <c r="Q29" s="415" t="s">
        <v>165</v>
      </c>
      <c r="R29" s="415" t="s">
        <v>166</v>
      </c>
      <c r="S29" s="415" t="s">
        <v>184</v>
      </c>
      <c r="T29" s="415" t="s">
        <v>185</v>
      </c>
      <c r="U29" s="415" t="s">
        <v>165</v>
      </c>
      <c r="V29" s="415" t="s">
        <v>166</v>
      </c>
      <c r="W29" s="415" t="s">
        <v>184</v>
      </c>
      <c r="X29" s="415" t="s">
        <v>185</v>
      </c>
      <c r="Y29" s="415" t="s">
        <v>165</v>
      </c>
      <c r="Z29" s="415" t="s">
        <v>166</v>
      </c>
      <c r="AA29" s="415" t="s">
        <v>184</v>
      </c>
      <c r="AB29" s="415" t="s">
        <v>185</v>
      </c>
      <c r="AC29" s="415" t="s">
        <v>165</v>
      </c>
      <c r="AD29" s="415" t="s">
        <v>166</v>
      </c>
      <c r="AE29" s="415" t="s">
        <v>184</v>
      </c>
      <c r="AF29" s="415" t="s">
        <v>185</v>
      </c>
    </row>
    <row r="30" spans="1:32" ht="24.95" customHeight="1">
      <c r="A30" s="436"/>
      <c r="B30" s="423"/>
      <c r="C30" s="424"/>
      <c r="D30" s="424"/>
      <c r="E30" s="424"/>
      <c r="F30" s="424"/>
      <c r="G30" s="424"/>
      <c r="H30" s="424"/>
      <c r="I30" s="424"/>
      <c r="J30" s="424"/>
      <c r="K30" s="424"/>
      <c r="L30" s="425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</row>
    <row r="31" spans="1:32" ht="18.75" customHeight="1">
      <c r="A31" s="105">
        <v>1</v>
      </c>
      <c r="B31" s="448">
        <v>2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93">
        <v>3</v>
      </c>
      <c r="N31" s="93">
        <v>4</v>
      </c>
      <c r="O31" s="93">
        <v>5</v>
      </c>
      <c r="P31" s="93">
        <v>6</v>
      </c>
      <c r="Q31" s="93">
        <v>7</v>
      </c>
      <c r="R31" s="93">
        <v>8</v>
      </c>
      <c r="S31" s="93">
        <v>9</v>
      </c>
      <c r="T31" s="93">
        <v>10</v>
      </c>
      <c r="U31" s="93">
        <v>11</v>
      </c>
      <c r="V31" s="93">
        <v>12</v>
      </c>
      <c r="W31" s="93">
        <v>13</v>
      </c>
      <c r="X31" s="93">
        <v>14</v>
      </c>
      <c r="Y31" s="93">
        <v>15</v>
      </c>
      <c r="Z31" s="93">
        <v>16</v>
      </c>
      <c r="AA31" s="93">
        <v>17</v>
      </c>
      <c r="AB31" s="93">
        <v>18</v>
      </c>
      <c r="AC31" s="93">
        <v>19</v>
      </c>
      <c r="AD31" s="93">
        <v>20</v>
      </c>
      <c r="AE31" s="93">
        <v>21</v>
      </c>
      <c r="AF31" s="93">
        <v>22</v>
      </c>
    </row>
    <row r="32" spans="1:32" ht="20.100000000000001" customHeight="1">
      <c r="A32" s="106"/>
      <c r="B32" s="444" t="s">
        <v>517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117">
        <v>0</v>
      </c>
      <c r="N32" s="117">
        <v>0</v>
      </c>
      <c r="O32" s="117">
        <f>N32-M32</f>
        <v>0</v>
      </c>
      <c r="P32" s="160" t="e">
        <f>N32/M32*100</f>
        <v>#DIV/0!</v>
      </c>
      <c r="Q32" s="117">
        <v>0</v>
      </c>
      <c r="R32" s="243"/>
      <c r="S32" s="243">
        <f>R32-Q32</f>
        <v>0</v>
      </c>
      <c r="T32" s="160" t="e">
        <f>R32/Q32*100</f>
        <v>#DIV/0!</v>
      </c>
      <c r="U32" s="243"/>
      <c r="V32" s="243"/>
      <c r="W32" s="243">
        <f>V32-U32</f>
        <v>0</v>
      </c>
      <c r="X32" s="160" t="e">
        <f>V32/U32*100</f>
        <v>#DIV/0!</v>
      </c>
      <c r="Y32" s="117">
        <v>0</v>
      </c>
      <c r="Z32" s="117">
        <v>0</v>
      </c>
      <c r="AA32" s="117">
        <f>Z32-Y32</f>
        <v>0</v>
      </c>
      <c r="AB32" s="160" t="e">
        <f>Z32/Y32*100</f>
        <v>#DIV/0!</v>
      </c>
      <c r="AC32" s="117">
        <f t="shared" ref="AC32:AD35" si="0">SUM(M32,Q32,U32,Y32)</f>
        <v>0</v>
      </c>
      <c r="AD32" s="117">
        <f t="shared" si="0"/>
        <v>0</v>
      </c>
      <c r="AE32" s="117">
        <f>AD32-AC32</f>
        <v>0</v>
      </c>
      <c r="AF32" s="160" t="e">
        <f>AD32/AC32*100</f>
        <v>#DIV/0!</v>
      </c>
    </row>
    <row r="33" spans="1:32" ht="20.100000000000001" customHeight="1">
      <c r="A33" s="106"/>
      <c r="B33" s="444" t="s">
        <v>2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117">
        <v>0</v>
      </c>
      <c r="N33" s="117">
        <v>0</v>
      </c>
      <c r="O33" s="117">
        <f>N33-M33</f>
        <v>0</v>
      </c>
      <c r="P33" s="160" t="e">
        <f>N33/M33*100</f>
        <v>#DIV/0!</v>
      </c>
      <c r="Q33" s="117">
        <v>100</v>
      </c>
      <c r="R33" s="117"/>
      <c r="S33" s="117">
        <f>R33-Q33</f>
        <v>-100</v>
      </c>
      <c r="T33" s="160">
        <f>R33/Q33*100</f>
        <v>0</v>
      </c>
      <c r="U33" s="243">
        <v>0</v>
      </c>
      <c r="V33" s="243"/>
      <c r="W33" s="243">
        <f>V33-U33</f>
        <v>0</v>
      </c>
      <c r="X33" s="160" t="e">
        <f>V33/U33*100</f>
        <v>#DIV/0!</v>
      </c>
      <c r="Y33" s="117">
        <v>0</v>
      </c>
      <c r="Z33" s="117">
        <v>0</v>
      </c>
      <c r="AA33" s="117">
        <f>Z33-Y33</f>
        <v>0</v>
      </c>
      <c r="AB33" s="160" t="e">
        <f>Z33/Y33*100</f>
        <v>#DIV/0!</v>
      </c>
      <c r="AC33" s="117">
        <f t="shared" si="0"/>
        <v>100</v>
      </c>
      <c r="AD33" s="117">
        <f t="shared" si="0"/>
        <v>0</v>
      </c>
      <c r="AE33" s="117">
        <f>AD33-AC33</f>
        <v>-100</v>
      </c>
      <c r="AF33" s="160">
        <f>AD33/AC33*100</f>
        <v>0</v>
      </c>
    </row>
    <row r="34" spans="1:32" ht="20.100000000000001" customHeight="1">
      <c r="A34" s="106"/>
      <c r="B34" s="444" t="s">
        <v>520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117">
        <v>0</v>
      </c>
      <c r="N34" s="117">
        <v>0</v>
      </c>
      <c r="O34" s="117">
        <f>N34-M34</f>
        <v>0</v>
      </c>
      <c r="P34" s="160" t="e">
        <f>N34/M34*100</f>
        <v>#DIV/0!</v>
      </c>
      <c r="Q34" s="117">
        <v>0</v>
      </c>
      <c r="R34" s="117"/>
      <c r="S34" s="117">
        <f>R34-Q34</f>
        <v>0</v>
      </c>
      <c r="T34" s="160" t="e">
        <f>R34/Q34*100</f>
        <v>#DIV/0!</v>
      </c>
      <c r="U34" s="243">
        <v>0</v>
      </c>
      <c r="V34" s="243">
        <v>0</v>
      </c>
      <c r="W34" s="243">
        <f>V34-U34</f>
        <v>0</v>
      </c>
      <c r="X34" s="160" t="e">
        <f>V34/U34*100</f>
        <v>#DIV/0!</v>
      </c>
      <c r="Y34" s="117">
        <v>0</v>
      </c>
      <c r="Z34" s="117">
        <v>0</v>
      </c>
      <c r="AA34" s="117">
        <f>Z34-Y34</f>
        <v>0</v>
      </c>
      <c r="AB34" s="160" t="e">
        <f>Z34/Y34*100</f>
        <v>#DIV/0!</v>
      </c>
      <c r="AC34" s="117">
        <f t="shared" si="0"/>
        <v>0</v>
      </c>
      <c r="AD34" s="117">
        <f t="shared" si="0"/>
        <v>0</v>
      </c>
      <c r="AE34" s="117">
        <f>AD34-AC34</f>
        <v>0</v>
      </c>
      <c r="AF34" s="160" t="e">
        <f>AD34/AC34*100</f>
        <v>#DIV/0!</v>
      </c>
    </row>
    <row r="35" spans="1:32" ht="20.100000000000001" customHeight="1">
      <c r="A35" s="106"/>
      <c r="B35" s="444" t="s">
        <v>547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117">
        <v>0</v>
      </c>
      <c r="N35" s="117">
        <v>0</v>
      </c>
      <c r="O35" s="117">
        <f>N35-M35</f>
        <v>0</v>
      </c>
      <c r="P35" s="160" t="e">
        <f>N35/M35*100</f>
        <v>#DIV/0!</v>
      </c>
      <c r="Q35" s="117">
        <v>0</v>
      </c>
      <c r="R35" s="117"/>
      <c r="S35" s="117">
        <f>R35-Q35</f>
        <v>0</v>
      </c>
      <c r="T35" s="160" t="e">
        <f>R35/Q35*100</f>
        <v>#DIV/0!</v>
      </c>
      <c r="U35" s="243">
        <v>0</v>
      </c>
      <c r="V35" s="243">
        <v>0</v>
      </c>
      <c r="W35" s="243">
        <f>V35-U35</f>
        <v>0</v>
      </c>
      <c r="X35" s="160" t="e">
        <f>V35/U35*100</f>
        <v>#DIV/0!</v>
      </c>
      <c r="Y35" s="117">
        <v>0</v>
      </c>
      <c r="Z35" s="117">
        <v>0</v>
      </c>
      <c r="AA35" s="117">
        <f>Z35-Y35</f>
        <v>0</v>
      </c>
      <c r="AB35" s="160" t="e">
        <f>Z35/Y35*100</f>
        <v>#DIV/0!</v>
      </c>
      <c r="AC35" s="117">
        <f t="shared" si="0"/>
        <v>0</v>
      </c>
      <c r="AD35" s="117">
        <f t="shared" si="0"/>
        <v>0</v>
      </c>
      <c r="AE35" s="117">
        <f>AD35-AC35</f>
        <v>0</v>
      </c>
      <c r="AF35" s="160" t="e">
        <f>AD35/AC35*100</f>
        <v>#DIV/0!</v>
      </c>
    </row>
    <row r="36" spans="1:32" ht="24.95" customHeight="1">
      <c r="A36" s="449" t="s">
        <v>49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1"/>
      <c r="M36" s="159">
        <f t="shared" ref="M36:AD36" si="1">SUM(M32:M35)</f>
        <v>0</v>
      </c>
      <c r="N36" s="159">
        <f t="shared" si="1"/>
        <v>0</v>
      </c>
      <c r="O36" s="142">
        <f>SUM(O32:O35)</f>
        <v>0</v>
      </c>
      <c r="P36" s="161" t="e">
        <f>N36/M36*100</f>
        <v>#DIV/0!</v>
      </c>
      <c r="Q36" s="159">
        <f>SUM(Q32:Q35)</f>
        <v>100</v>
      </c>
      <c r="R36" s="244">
        <f t="shared" si="1"/>
        <v>0</v>
      </c>
      <c r="S36" s="143">
        <f>SUM(S32:S35)</f>
        <v>-100</v>
      </c>
      <c r="T36" s="161">
        <f>R36/Q36*100</f>
        <v>0</v>
      </c>
      <c r="U36" s="244">
        <f t="shared" si="1"/>
        <v>0</v>
      </c>
      <c r="V36" s="244">
        <f t="shared" si="1"/>
        <v>0</v>
      </c>
      <c r="W36" s="143">
        <f>SUM(W32:W35)</f>
        <v>0</v>
      </c>
      <c r="X36" s="161" t="e">
        <f>V36/U36*100</f>
        <v>#DIV/0!</v>
      </c>
      <c r="Y36" s="159">
        <f t="shared" si="1"/>
        <v>0</v>
      </c>
      <c r="Z36" s="159">
        <f t="shared" si="1"/>
        <v>0</v>
      </c>
      <c r="AA36" s="142">
        <f>SUM(AA32:AA35)</f>
        <v>0</v>
      </c>
      <c r="AB36" s="161" t="e">
        <f>Z36/Y36*100</f>
        <v>#DIV/0!</v>
      </c>
      <c r="AC36" s="159">
        <f t="shared" si="1"/>
        <v>100</v>
      </c>
      <c r="AD36" s="159">
        <f t="shared" si="1"/>
        <v>0</v>
      </c>
      <c r="AE36" s="142">
        <f>SUM(AE32:AE35)</f>
        <v>-100</v>
      </c>
      <c r="AF36" s="161">
        <f>AD36/AC36*100</f>
        <v>0</v>
      </c>
    </row>
    <row r="37" spans="1:32" ht="24.95" customHeight="1">
      <c r="A37" s="439" t="s">
        <v>50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1"/>
      <c r="M37" s="162">
        <f>M36/AC36*100</f>
        <v>0</v>
      </c>
      <c r="N37" s="162" t="e">
        <f>N36/AD36*100</f>
        <v>#DIV/0!</v>
      </c>
      <c r="O37" s="91"/>
      <c r="P37" s="91"/>
      <c r="Q37" s="162">
        <f>Q36/AC36*100</f>
        <v>100</v>
      </c>
      <c r="R37" s="162" t="e">
        <f>R36/AD36*100</f>
        <v>#DIV/0!</v>
      </c>
      <c r="S37" s="91"/>
      <c r="T37" s="91"/>
      <c r="U37" s="190">
        <f>U36/AC36*100</f>
        <v>0</v>
      </c>
      <c r="V37" s="190" t="e">
        <f>V36/AD36*100</f>
        <v>#DIV/0!</v>
      </c>
      <c r="W37" s="243"/>
      <c r="X37" s="91"/>
      <c r="Y37" s="162">
        <f>Y36/AC36*100</f>
        <v>0</v>
      </c>
      <c r="Z37" s="162" t="e">
        <f>Z36/AD36*100</f>
        <v>#DIV/0!</v>
      </c>
      <c r="AA37" s="91"/>
      <c r="AB37" s="91"/>
      <c r="AC37" s="162">
        <f>SUM(M37,Q37,U37,Y37)</f>
        <v>100</v>
      </c>
      <c r="AD37" s="162" t="e">
        <f>SUM(N37,R37,V37,Z37)</f>
        <v>#DIV/0!</v>
      </c>
      <c r="AE37" s="91"/>
      <c r="AF37" s="91"/>
    </row>
    <row r="38" spans="1:32" ht="15" customHeight="1">
      <c r="A38" s="16"/>
      <c r="B38" s="16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32" ht="15" customHeight="1">
      <c r="A39" s="16"/>
      <c r="B39" s="16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32" s="42" customFormat="1" ht="31.5" customHeight="1">
      <c r="C40" s="42" t="s">
        <v>170</v>
      </c>
    </row>
    <row r="41" spans="1:32" s="84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438" t="s">
        <v>381</v>
      </c>
      <c r="AE41" s="438"/>
      <c r="AF41" s="438"/>
    </row>
    <row r="42" spans="1:32" s="85" customFormat="1" ht="34.5" customHeight="1">
      <c r="A42" s="282" t="s">
        <v>444</v>
      </c>
      <c r="B42" s="362" t="s">
        <v>211</v>
      </c>
      <c r="C42" s="364"/>
      <c r="D42" s="283" t="s">
        <v>212</v>
      </c>
      <c r="E42" s="283"/>
      <c r="F42" s="283" t="s">
        <v>143</v>
      </c>
      <c r="G42" s="283"/>
      <c r="H42" s="283" t="s">
        <v>320</v>
      </c>
      <c r="I42" s="283"/>
      <c r="J42" s="283" t="s">
        <v>321</v>
      </c>
      <c r="K42" s="283"/>
      <c r="L42" s="283" t="s">
        <v>453</v>
      </c>
      <c r="M42" s="283"/>
      <c r="N42" s="283"/>
      <c r="O42" s="283"/>
      <c r="P42" s="283"/>
      <c r="Q42" s="283"/>
      <c r="R42" s="283"/>
      <c r="S42" s="283"/>
      <c r="T42" s="283"/>
      <c r="U42" s="283"/>
      <c r="V42" s="437" t="s">
        <v>445</v>
      </c>
      <c r="W42" s="437"/>
      <c r="X42" s="437"/>
      <c r="Y42" s="437"/>
      <c r="Z42" s="437"/>
      <c r="AA42" s="437" t="s">
        <v>446</v>
      </c>
      <c r="AB42" s="437"/>
      <c r="AC42" s="437"/>
      <c r="AD42" s="437"/>
      <c r="AE42" s="437"/>
      <c r="AF42" s="437"/>
    </row>
    <row r="43" spans="1:32" s="85" customFormat="1" ht="52.5" customHeight="1">
      <c r="A43" s="282"/>
      <c r="B43" s="442"/>
      <c r="C43" s="443"/>
      <c r="D43" s="283"/>
      <c r="E43" s="283"/>
      <c r="F43" s="283"/>
      <c r="G43" s="283"/>
      <c r="H43" s="283"/>
      <c r="I43" s="283"/>
      <c r="J43" s="283"/>
      <c r="K43" s="283"/>
      <c r="L43" s="283" t="s">
        <v>196</v>
      </c>
      <c r="M43" s="283"/>
      <c r="N43" s="283" t="s">
        <v>200</v>
      </c>
      <c r="O43" s="283"/>
      <c r="P43" s="283" t="s">
        <v>201</v>
      </c>
      <c r="Q43" s="283"/>
      <c r="R43" s="283"/>
      <c r="S43" s="283"/>
      <c r="T43" s="283"/>
      <c r="U43" s="283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</row>
    <row r="44" spans="1:32" s="86" customFormat="1" ht="82.5" customHeight="1">
      <c r="A44" s="282"/>
      <c r="B44" s="365"/>
      <c r="C44" s="367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 t="s">
        <v>197</v>
      </c>
      <c r="Q44" s="283"/>
      <c r="R44" s="283" t="s">
        <v>198</v>
      </c>
      <c r="S44" s="283"/>
      <c r="T44" s="283" t="s">
        <v>199</v>
      </c>
      <c r="U44" s="283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</row>
    <row r="45" spans="1:32" s="85" customFormat="1" ht="18.75" customHeight="1">
      <c r="A45" s="67">
        <v>1</v>
      </c>
      <c r="B45" s="359">
        <v>2</v>
      </c>
      <c r="C45" s="361"/>
      <c r="D45" s="283">
        <v>3</v>
      </c>
      <c r="E45" s="283"/>
      <c r="F45" s="283">
        <v>4</v>
      </c>
      <c r="G45" s="283"/>
      <c r="H45" s="283">
        <v>5</v>
      </c>
      <c r="I45" s="283"/>
      <c r="J45" s="283">
        <v>6</v>
      </c>
      <c r="K45" s="283"/>
      <c r="L45" s="359">
        <v>7</v>
      </c>
      <c r="M45" s="361"/>
      <c r="N45" s="359">
        <v>8</v>
      </c>
      <c r="O45" s="361"/>
      <c r="P45" s="283">
        <v>9</v>
      </c>
      <c r="Q45" s="283"/>
      <c r="R45" s="282">
        <v>10</v>
      </c>
      <c r="S45" s="282"/>
      <c r="T45" s="283">
        <v>11</v>
      </c>
      <c r="U45" s="283"/>
      <c r="V45" s="283">
        <v>12</v>
      </c>
      <c r="W45" s="283"/>
      <c r="X45" s="283"/>
      <c r="Y45" s="283"/>
      <c r="Z45" s="283"/>
      <c r="AA45" s="283">
        <v>13</v>
      </c>
      <c r="AB45" s="283"/>
      <c r="AC45" s="283"/>
      <c r="AD45" s="283"/>
      <c r="AE45" s="283"/>
      <c r="AF45" s="283"/>
    </row>
    <row r="46" spans="1:32" s="85" customFormat="1" ht="20.100000000000001" customHeight="1">
      <c r="A46" s="104"/>
      <c r="B46" s="431"/>
      <c r="C46" s="432"/>
      <c r="D46" s="380"/>
      <c r="E46" s="380"/>
      <c r="F46" s="433"/>
      <c r="G46" s="433"/>
      <c r="H46" s="433"/>
      <c r="I46" s="433"/>
      <c r="J46" s="433"/>
      <c r="K46" s="433"/>
      <c r="L46" s="372"/>
      <c r="M46" s="373"/>
      <c r="N46" s="374">
        <f>SUM(P46,R46,T46)</f>
        <v>0</v>
      </c>
      <c r="O46" s="375"/>
      <c r="P46" s="433"/>
      <c r="Q46" s="433"/>
      <c r="R46" s="433"/>
      <c r="S46" s="433"/>
      <c r="T46" s="433"/>
      <c r="U46" s="433"/>
      <c r="V46" s="481"/>
      <c r="W46" s="481"/>
      <c r="X46" s="481"/>
      <c r="Y46" s="481"/>
      <c r="Z46" s="481"/>
      <c r="AA46" s="378"/>
      <c r="AB46" s="378"/>
      <c r="AC46" s="378"/>
      <c r="AD46" s="378"/>
      <c r="AE46" s="378"/>
      <c r="AF46" s="378"/>
    </row>
    <row r="47" spans="1:32" s="85" customFormat="1" ht="20.100000000000001" customHeight="1">
      <c r="A47" s="104"/>
      <c r="B47" s="431"/>
      <c r="C47" s="432"/>
      <c r="D47" s="380"/>
      <c r="E47" s="380"/>
      <c r="F47" s="433"/>
      <c r="G47" s="433"/>
      <c r="H47" s="433"/>
      <c r="I47" s="433"/>
      <c r="J47" s="433"/>
      <c r="K47" s="433"/>
      <c r="L47" s="372"/>
      <c r="M47" s="373"/>
      <c r="N47" s="374">
        <f t="shared" ref="N47:N52" si="2">SUM(P47,R47,T47)</f>
        <v>0</v>
      </c>
      <c r="O47" s="375"/>
      <c r="P47" s="433"/>
      <c r="Q47" s="433"/>
      <c r="R47" s="433"/>
      <c r="S47" s="433"/>
      <c r="T47" s="433"/>
      <c r="U47" s="433"/>
      <c r="V47" s="481"/>
      <c r="W47" s="481"/>
      <c r="X47" s="481"/>
      <c r="Y47" s="481"/>
      <c r="Z47" s="481"/>
      <c r="AA47" s="378"/>
      <c r="AB47" s="378"/>
      <c r="AC47" s="378"/>
      <c r="AD47" s="378"/>
      <c r="AE47" s="378"/>
      <c r="AF47" s="378"/>
    </row>
    <row r="48" spans="1:32" s="85" customFormat="1" ht="20.100000000000001" customHeight="1">
      <c r="A48" s="104"/>
      <c r="B48" s="431"/>
      <c r="C48" s="432"/>
      <c r="D48" s="380"/>
      <c r="E48" s="380"/>
      <c r="F48" s="433"/>
      <c r="G48" s="433"/>
      <c r="H48" s="433"/>
      <c r="I48" s="433"/>
      <c r="J48" s="433"/>
      <c r="K48" s="433"/>
      <c r="L48" s="372"/>
      <c r="M48" s="373"/>
      <c r="N48" s="374">
        <f t="shared" si="2"/>
        <v>0</v>
      </c>
      <c r="O48" s="375"/>
      <c r="P48" s="433"/>
      <c r="Q48" s="433"/>
      <c r="R48" s="433"/>
      <c r="S48" s="433"/>
      <c r="T48" s="433"/>
      <c r="U48" s="433"/>
      <c r="V48" s="481"/>
      <c r="W48" s="481"/>
      <c r="X48" s="481"/>
      <c r="Y48" s="481"/>
      <c r="Z48" s="481"/>
      <c r="AA48" s="378"/>
      <c r="AB48" s="378"/>
      <c r="AC48" s="378"/>
      <c r="AD48" s="378"/>
      <c r="AE48" s="378"/>
      <c r="AF48" s="378"/>
    </row>
    <row r="49" spans="1:32" s="85" customFormat="1" ht="20.100000000000001" customHeight="1">
      <c r="A49" s="104"/>
      <c r="B49" s="431"/>
      <c r="C49" s="432"/>
      <c r="D49" s="380"/>
      <c r="E49" s="380"/>
      <c r="F49" s="433"/>
      <c r="G49" s="433"/>
      <c r="H49" s="433"/>
      <c r="I49" s="433"/>
      <c r="J49" s="433"/>
      <c r="K49" s="433"/>
      <c r="L49" s="372"/>
      <c r="M49" s="373"/>
      <c r="N49" s="374">
        <f t="shared" si="2"/>
        <v>0</v>
      </c>
      <c r="O49" s="375"/>
      <c r="P49" s="433"/>
      <c r="Q49" s="433"/>
      <c r="R49" s="433"/>
      <c r="S49" s="433"/>
      <c r="T49" s="433"/>
      <c r="U49" s="433"/>
      <c r="V49" s="481"/>
      <c r="W49" s="481"/>
      <c r="X49" s="481"/>
      <c r="Y49" s="481"/>
      <c r="Z49" s="481"/>
      <c r="AA49" s="378"/>
      <c r="AB49" s="378"/>
      <c r="AC49" s="378"/>
      <c r="AD49" s="378"/>
      <c r="AE49" s="378"/>
      <c r="AF49" s="378"/>
    </row>
    <row r="50" spans="1:32" s="85" customFormat="1" ht="20.100000000000001" customHeight="1">
      <c r="A50" s="104"/>
      <c r="B50" s="431"/>
      <c r="C50" s="432"/>
      <c r="D50" s="380"/>
      <c r="E50" s="380"/>
      <c r="F50" s="433"/>
      <c r="G50" s="433"/>
      <c r="H50" s="433"/>
      <c r="I50" s="433"/>
      <c r="J50" s="433"/>
      <c r="K50" s="433"/>
      <c r="L50" s="372"/>
      <c r="M50" s="373"/>
      <c r="N50" s="374">
        <f t="shared" si="2"/>
        <v>0</v>
      </c>
      <c r="O50" s="375"/>
      <c r="P50" s="433"/>
      <c r="Q50" s="433"/>
      <c r="R50" s="433"/>
      <c r="S50" s="433"/>
      <c r="T50" s="433"/>
      <c r="U50" s="433"/>
      <c r="V50" s="481"/>
      <c r="W50" s="481"/>
      <c r="X50" s="481"/>
      <c r="Y50" s="481"/>
      <c r="Z50" s="481"/>
      <c r="AA50" s="378"/>
      <c r="AB50" s="378"/>
      <c r="AC50" s="378"/>
      <c r="AD50" s="378"/>
      <c r="AE50" s="378"/>
      <c r="AF50" s="378"/>
    </row>
    <row r="51" spans="1:32" s="85" customFormat="1" ht="20.100000000000001" customHeight="1">
      <c r="A51" s="104"/>
      <c r="B51" s="431"/>
      <c r="C51" s="432"/>
      <c r="D51" s="380"/>
      <c r="E51" s="380"/>
      <c r="F51" s="433"/>
      <c r="G51" s="433"/>
      <c r="H51" s="433"/>
      <c r="I51" s="433"/>
      <c r="J51" s="433"/>
      <c r="K51" s="433"/>
      <c r="L51" s="372"/>
      <c r="M51" s="373"/>
      <c r="N51" s="374">
        <f t="shared" si="2"/>
        <v>0</v>
      </c>
      <c r="O51" s="375"/>
      <c r="P51" s="433"/>
      <c r="Q51" s="433"/>
      <c r="R51" s="433"/>
      <c r="S51" s="433"/>
      <c r="T51" s="433"/>
      <c r="U51" s="433"/>
      <c r="V51" s="481"/>
      <c r="W51" s="481"/>
      <c r="X51" s="481"/>
      <c r="Y51" s="481"/>
      <c r="Z51" s="481"/>
      <c r="AA51" s="378"/>
      <c r="AB51" s="378"/>
      <c r="AC51" s="378"/>
      <c r="AD51" s="378"/>
      <c r="AE51" s="378"/>
      <c r="AF51" s="378"/>
    </row>
    <row r="52" spans="1:32" s="85" customFormat="1" ht="20.100000000000001" customHeight="1">
      <c r="A52" s="104"/>
      <c r="B52" s="431"/>
      <c r="C52" s="432"/>
      <c r="D52" s="380"/>
      <c r="E52" s="380"/>
      <c r="F52" s="433"/>
      <c r="G52" s="433"/>
      <c r="H52" s="433"/>
      <c r="I52" s="433"/>
      <c r="J52" s="433"/>
      <c r="K52" s="433"/>
      <c r="L52" s="372"/>
      <c r="M52" s="373"/>
      <c r="N52" s="374">
        <f t="shared" si="2"/>
        <v>0</v>
      </c>
      <c r="O52" s="375"/>
      <c r="P52" s="433"/>
      <c r="Q52" s="433"/>
      <c r="R52" s="433"/>
      <c r="S52" s="433"/>
      <c r="T52" s="433"/>
      <c r="U52" s="433"/>
      <c r="V52" s="481"/>
      <c r="W52" s="481"/>
      <c r="X52" s="481"/>
      <c r="Y52" s="481"/>
      <c r="Z52" s="481"/>
      <c r="AA52" s="378"/>
      <c r="AB52" s="378"/>
      <c r="AC52" s="378"/>
      <c r="AD52" s="378"/>
      <c r="AE52" s="378"/>
      <c r="AF52" s="378"/>
    </row>
    <row r="53" spans="1:32" s="85" customFormat="1" ht="24.95" customHeight="1">
      <c r="A53" s="486" t="s">
        <v>49</v>
      </c>
      <c r="B53" s="487"/>
      <c r="C53" s="487"/>
      <c r="D53" s="487"/>
      <c r="E53" s="488"/>
      <c r="F53" s="482">
        <f>SUM(F46:F52)</f>
        <v>0</v>
      </c>
      <c r="G53" s="482"/>
      <c r="H53" s="482">
        <f>SUM(H46:H52)</f>
        <v>0</v>
      </c>
      <c r="I53" s="482"/>
      <c r="J53" s="482">
        <f>SUM(J46:J52)</f>
        <v>0</v>
      </c>
      <c r="K53" s="482"/>
      <c r="L53" s="482">
        <f>SUM(L46:L52)</f>
        <v>0</v>
      </c>
      <c r="M53" s="482"/>
      <c r="N53" s="482">
        <f>SUM(N46:N52)</f>
        <v>0</v>
      </c>
      <c r="O53" s="482"/>
      <c r="P53" s="482">
        <f>SUM(P46:P52)</f>
        <v>0</v>
      </c>
      <c r="Q53" s="482"/>
      <c r="R53" s="482">
        <f>SUM(R46:R52)</f>
        <v>0</v>
      </c>
      <c r="S53" s="482"/>
      <c r="T53" s="482">
        <f>SUM(T46:T52)</f>
        <v>0</v>
      </c>
      <c r="U53" s="482"/>
      <c r="V53" s="484"/>
      <c r="W53" s="484"/>
      <c r="X53" s="484"/>
      <c r="Y53" s="484"/>
      <c r="Z53" s="484"/>
      <c r="AA53" s="388"/>
      <c r="AB53" s="388"/>
      <c r="AC53" s="388"/>
      <c r="AD53" s="388"/>
      <c r="AE53" s="388"/>
      <c r="AF53" s="388"/>
    </row>
    <row r="54" spans="1:32" ht="15" customHeight="1">
      <c r="A54" s="16"/>
      <c r="B54" s="16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32" ht="7.5" customHeight="1">
      <c r="A55" s="16"/>
      <c r="B55" s="16"/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32" ht="15" hidden="1" customHeight="1">
      <c r="A56" s="16"/>
      <c r="B56" s="16"/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32" ht="15" customHeight="1">
      <c r="A57" s="16"/>
      <c r="B57" s="16"/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32" ht="35.25" customHeight="1">
      <c r="A58" s="16"/>
      <c r="B58" s="485" t="s">
        <v>571</v>
      </c>
      <c r="C58" s="485"/>
      <c r="D58" s="485"/>
      <c r="E58" s="485"/>
      <c r="F58" s="485"/>
      <c r="G58" s="485"/>
      <c r="H58" s="485"/>
      <c r="I58" s="485"/>
      <c r="J58" s="485"/>
      <c r="K58" s="248"/>
      <c r="L58" s="248"/>
      <c r="M58" s="480" t="s">
        <v>195</v>
      </c>
      <c r="N58" s="480"/>
      <c r="O58" s="480"/>
      <c r="P58" s="480"/>
      <c r="Q58" s="480"/>
      <c r="R58" s="248"/>
      <c r="S58" s="248"/>
      <c r="T58" s="248"/>
      <c r="U58" s="248"/>
      <c r="V58" s="248"/>
      <c r="W58" s="483" t="s">
        <v>554</v>
      </c>
      <c r="X58" s="483"/>
      <c r="Y58" s="483"/>
      <c r="Z58" s="483"/>
      <c r="AA58" s="483"/>
    </row>
    <row r="59" spans="1:32" s="4" customFormat="1" ht="20.25">
      <c r="B59" s="479" t="s">
        <v>67</v>
      </c>
      <c r="C59" s="479"/>
      <c r="D59" s="479"/>
      <c r="E59" s="479"/>
      <c r="F59" s="479"/>
      <c r="G59" s="479"/>
      <c r="H59" s="250"/>
      <c r="I59" s="250"/>
      <c r="J59" s="250"/>
      <c r="K59" s="250"/>
      <c r="L59" s="250"/>
      <c r="M59" s="479" t="s">
        <v>68</v>
      </c>
      <c r="N59" s="479"/>
      <c r="O59" s="479"/>
      <c r="P59" s="479"/>
      <c r="Q59" s="479"/>
      <c r="R59" s="249"/>
      <c r="S59" s="249"/>
      <c r="T59" s="249"/>
      <c r="U59" s="249"/>
      <c r="V59" s="251"/>
      <c r="W59" s="479" t="s">
        <v>105</v>
      </c>
      <c r="X59" s="479"/>
      <c r="Y59" s="479"/>
      <c r="Z59" s="479"/>
      <c r="AA59" s="479"/>
    </row>
    <row r="60" spans="1:32" s="34" customFormat="1" ht="16.5" customHeight="1">
      <c r="C60" s="113"/>
      <c r="D60" s="72"/>
      <c r="E60" s="72"/>
      <c r="F60" s="71"/>
      <c r="G60" s="71"/>
      <c r="H60" s="71"/>
      <c r="I60" s="71"/>
      <c r="J60" s="71"/>
      <c r="K60" s="71"/>
      <c r="L60" s="71"/>
      <c r="M60" s="71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32" s="4" customFormat="1">
      <c r="C61" s="414" t="s">
        <v>588</v>
      </c>
      <c r="D61" s="293"/>
      <c r="E61" s="293"/>
      <c r="F61" s="293"/>
      <c r="G61" s="293"/>
      <c r="H61" s="24"/>
      <c r="I61" s="24"/>
      <c r="J61" s="24"/>
      <c r="K61" s="24"/>
      <c r="L61" s="24"/>
      <c r="M61" s="289" t="s">
        <v>592</v>
      </c>
      <c r="N61" s="293"/>
      <c r="O61" s="293"/>
      <c r="P61" s="293"/>
      <c r="Q61" s="293"/>
      <c r="R61" s="24"/>
      <c r="S61" s="24"/>
      <c r="T61" s="24"/>
      <c r="X61" s="290" t="s">
        <v>580</v>
      </c>
      <c r="Y61" s="293"/>
      <c r="Z61" s="293"/>
      <c r="AA61" s="293"/>
    </row>
    <row r="62" spans="1:32">
      <c r="C62" s="36"/>
      <c r="D62" s="36"/>
      <c r="E62" s="36"/>
      <c r="F62" s="36"/>
      <c r="G62" s="36"/>
      <c r="H62" s="36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36"/>
      <c r="V62" s="36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3:3">
      <c r="C65" s="37"/>
    </row>
    <row r="68" spans="3:3" ht="19.5">
      <c r="C68" s="38"/>
    </row>
    <row r="69" spans="3:3" ht="19.5">
      <c r="C69" s="38"/>
    </row>
    <row r="70" spans="3:3" ht="19.5">
      <c r="C70" s="38"/>
    </row>
    <row r="71" spans="3:3" ht="19.5">
      <c r="C71" s="38"/>
    </row>
    <row r="72" spans="3:3" ht="19.5">
      <c r="C72" s="38"/>
    </row>
    <row r="73" spans="3:3" ht="19.5">
      <c r="C73" s="38"/>
    </row>
    <row r="74" spans="3:3" ht="19.5">
      <c r="C74" s="38"/>
    </row>
  </sheetData>
  <mergeCells count="286">
    <mergeCell ref="AD18:AF18"/>
    <mergeCell ref="AD19:AF19"/>
    <mergeCell ref="AD20:AF20"/>
    <mergeCell ref="AD21:AF21"/>
    <mergeCell ref="AA20:AC20"/>
    <mergeCell ref="AA21:AC21"/>
    <mergeCell ref="A15:A17"/>
    <mergeCell ref="D15:G17"/>
    <mergeCell ref="H15:O17"/>
    <mergeCell ref="X18:Z18"/>
    <mergeCell ref="B18:C18"/>
    <mergeCell ref="B19:C19"/>
    <mergeCell ref="U19:W19"/>
    <mergeCell ref="AD15:AF17"/>
    <mergeCell ref="AA15:AC17"/>
    <mergeCell ref="AA18:AC18"/>
    <mergeCell ref="AA19:AC19"/>
    <mergeCell ref="X16:Z17"/>
    <mergeCell ref="U16:W17"/>
    <mergeCell ref="P15:Q17"/>
    <mergeCell ref="B20:C20"/>
    <mergeCell ref="R20:T20"/>
    <mergeCell ref="R21:T21"/>
    <mergeCell ref="R19:T19"/>
    <mergeCell ref="AA23:AC23"/>
    <mergeCell ref="AD22:AF22"/>
    <mergeCell ref="AD23:AF23"/>
    <mergeCell ref="U20:W20"/>
    <mergeCell ref="U21:W21"/>
    <mergeCell ref="AA22:AC22"/>
    <mergeCell ref="X22:Z22"/>
    <mergeCell ref="X23:Z23"/>
    <mergeCell ref="U23:W23"/>
    <mergeCell ref="T51:U51"/>
    <mergeCell ref="T48:U48"/>
    <mergeCell ref="R46:S46"/>
    <mergeCell ref="V51:Z51"/>
    <mergeCell ref="T50:U50"/>
    <mergeCell ref="V50:Z50"/>
    <mergeCell ref="T49:U49"/>
    <mergeCell ref="V49:Z49"/>
    <mergeCell ref="V48:Z48"/>
    <mergeCell ref="V47:Z47"/>
    <mergeCell ref="R47:S47"/>
    <mergeCell ref="R49:S49"/>
    <mergeCell ref="R48:S48"/>
    <mergeCell ref="R50:S50"/>
    <mergeCell ref="T46:U46"/>
    <mergeCell ref="V46:Z46"/>
    <mergeCell ref="R22:T22"/>
    <mergeCell ref="P46:Q46"/>
    <mergeCell ref="N43:O44"/>
    <mergeCell ref="R10:T10"/>
    <mergeCell ref="R15:Z15"/>
    <mergeCell ref="R16:T17"/>
    <mergeCell ref="R18:T18"/>
    <mergeCell ref="X19:Z19"/>
    <mergeCell ref="X20:Z20"/>
    <mergeCell ref="X21:Z21"/>
    <mergeCell ref="V45:Z45"/>
    <mergeCell ref="T44:U44"/>
    <mergeCell ref="P29:P30"/>
    <mergeCell ref="H21:O21"/>
    <mergeCell ref="U18:W18"/>
    <mergeCell ref="R23:T23"/>
    <mergeCell ref="U22:W22"/>
    <mergeCell ref="M29:M30"/>
    <mergeCell ref="N29:N30"/>
    <mergeCell ref="B33:L33"/>
    <mergeCell ref="B34:L34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2:C52"/>
    <mergeCell ref="W58:AA58"/>
    <mergeCell ref="T53:U53"/>
    <mergeCell ref="V53:Z53"/>
    <mergeCell ref="J53:K53"/>
    <mergeCell ref="P53:Q53"/>
    <mergeCell ref="F53:G53"/>
    <mergeCell ref="B58:J58"/>
    <mergeCell ref="A53:E53"/>
    <mergeCell ref="AA53:AF53"/>
    <mergeCell ref="AA52:AF52"/>
    <mergeCell ref="AD10:AF10"/>
    <mergeCell ref="AD9:AF9"/>
    <mergeCell ref="AA9:AC9"/>
    <mergeCell ref="U10:W10"/>
    <mergeCell ref="AA7:AC7"/>
    <mergeCell ref="X7:Z7"/>
    <mergeCell ref="AA10:AC10"/>
    <mergeCell ref="X10:Z10"/>
    <mergeCell ref="U9:W9"/>
    <mergeCell ref="AD3:AF4"/>
    <mergeCell ref="AA3:AC4"/>
    <mergeCell ref="R3:Z3"/>
    <mergeCell ref="R4:T4"/>
    <mergeCell ref="G5:Q5"/>
    <mergeCell ref="D7:F7"/>
    <mergeCell ref="B6:C6"/>
    <mergeCell ref="X9:Z9"/>
    <mergeCell ref="R9:T9"/>
    <mergeCell ref="G8:Q8"/>
    <mergeCell ref="B9:C9"/>
    <mergeCell ref="D9:F9"/>
    <mergeCell ref="R8:T8"/>
    <mergeCell ref="R7:T7"/>
    <mergeCell ref="AD5:AF5"/>
    <mergeCell ref="AA5:AC5"/>
    <mergeCell ref="U7:W7"/>
    <mergeCell ref="AA6:AC6"/>
    <mergeCell ref="AD8:AF8"/>
    <mergeCell ref="AA8:AC8"/>
    <mergeCell ref="X8:Z8"/>
    <mergeCell ref="U8:W8"/>
    <mergeCell ref="AD7:AF7"/>
    <mergeCell ref="AD6:AF6"/>
    <mergeCell ref="A3:A4"/>
    <mergeCell ref="U6:W6"/>
    <mergeCell ref="U4:W4"/>
    <mergeCell ref="X4:Z4"/>
    <mergeCell ref="R5:T5"/>
    <mergeCell ref="U5:W5"/>
    <mergeCell ref="G3:Q4"/>
    <mergeCell ref="B3:C4"/>
    <mergeCell ref="D3:F4"/>
    <mergeCell ref="G6:Q6"/>
    <mergeCell ref="B5:C5"/>
    <mergeCell ref="D5:F5"/>
    <mergeCell ref="X5:Z5"/>
    <mergeCell ref="X6:Z6"/>
    <mergeCell ref="R6:T6"/>
    <mergeCell ref="B7:C7"/>
    <mergeCell ref="P22:Q22"/>
    <mergeCell ref="P18:Q18"/>
    <mergeCell ref="P21:Q21"/>
    <mergeCell ref="D18:G18"/>
    <mergeCell ref="H18:O18"/>
    <mergeCell ref="D21:G21"/>
    <mergeCell ref="B8:C8"/>
    <mergeCell ref="D6:F6"/>
    <mergeCell ref="D22:G22"/>
    <mergeCell ref="D8:F8"/>
    <mergeCell ref="G7:Q7"/>
    <mergeCell ref="H19:O19"/>
    <mergeCell ref="H20:O20"/>
    <mergeCell ref="B15:C17"/>
    <mergeCell ref="B21:C21"/>
    <mergeCell ref="B22:C22"/>
    <mergeCell ref="H22:O22"/>
    <mergeCell ref="G9:Q9"/>
    <mergeCell ref="D19:G19"/>
    <mergeCell ref="D20:G20"/>
    <mergeCell ref="A10:Q10"/>
    <mergeCell ref="P19:Q19"/>
    <mergeCell ref="P20:Q20"/>
    <mergeCell ref="A23:Q23"/>
    <mergeCell ref="L45:M45"/>
    <mergeCell ref="F47:G47"/>
    <mergeCell ref="D45:E45"/>
    <mergeCell ref="H45:I45"/>
    <mergeCell ref="J45:K45"/>
    <mergeCell ref="J46:K46"/>
    <mergeCell ref="J47:K47"/>
    <mergeCell ref="L46:M46"/>
    <mergeCell ref="H47:I47"/>
    <mergeCell ref="B31:L31"/>
    <mergeCell ref="O29:O30"/>
    <mergeCell ref="A36:L36"/>
    <mergeCell ref="F42:G44"/>
    <mergeCell ref="F45:G45"/>
    <mergeCell ref="H46:I46"/>
    <mergeCell ref="P45:Q45"/>
    <mergeCell ref="F46:G46"/>
    <mergeCell ref="D46:E46"/>
    <mergeCell ref="P44:Q44"/>
    <mergeCell ref="P48:Q48"/>
    <mergeCell ref="N46:O46"/>
    <mergeCell ref="N47:O47"/>
    <mergeCell ref="U28:X28"/>
    <mergeCell ref="P43:U43"/>
    <mergeCell ref="S29:S30"/>
    <mergeCell ref="W29:W30"/>
    <mergeCell ref="X29:X30"/>
    <mergeCell ref="Q29:Q30"/>
    <mergeCell ref="R29:R30"/>
    <mergeCell ref="L42:U42"/>
    <mergeCell ref="L43:M44"/>
    <mergeCell ref="N45:O45"/>
    <mergeCell ref="B32:L32"/>
    <mergeCell ref="D47:E47"/>
    <mergeCell ref="B45:C45"/>
    <mergeCell ref="H42:I44"/>
    <mergeCell ref="B35:L35"/>
    <mergeCell ref="P47:Q47"/>
    <mergeCell ref="L48:M48"/>
    <mergeCell ref="L47:M47"/>
    <mergeCell ref="N48:O48"/>
    <mergeCell ref="R44:S44"/>
    <mergeCell ref="R45:S45"/>
    <mergeCell ref="J52:K52"/>
    <mergeCell ref="D51:E51"/>
    <mergeCell ref="B51:C51"/>
    <mergeCell ref="B49:C49"/>
    <mergeCell ref="B50:C50"/>
    <mergeCell ref="D49:E49"/>
    <mergeCell ref="L49:M49"/>
    <mergeCell ref="N49:O49"/>
    <mergeCell ref="P49:Q49"/>
    <mergeCell ref="A28:A30"/>
    <mergeCell ref="D42:E44"/>
    <mergeCell ref="V42:Z44"/>
    <mergeCell ref="AA45:AF45"/>
    <mergeCell ref="T29:T30"/>
    <mergeCell ref="B47:C47"/>
    <mergeCell ref="T47:U47"/>
    <mergeCell ref="U29:U30"/>
    <mergeCell ref="T45:U45"/>
    <mergeCell ref="AA29:AA30"/>
    <mergeCell ref="AB29:AB30"/>
    <mergeCell ref="AA42:AF44"/>
    <mergeCell ref="AD41:AF41"/>
    <mergeCell ref="AC29:AC30"/>
    <mergeCell ref="AA46:AF46"/>
    <mergeCell ref="AC28:AF28"/>
    <mergeCell ref="AD29:AD30"/>
    <mergeCell ref="B46:C46"/>
    <mergeCell ref="A37:L37"/>
    <mergeCell ref="A42:A44"/>
    <mergeCell ref="B42:C44"/>
    <mergeCell ref="J42:K44"/>
    <mergeCell ref="AD27:AF27"/>
    <mergeCell ref="Z27:AB27"/>
    <mergeCell ref="M28:P28"/>
    <mergeCell ref="B48:C48"/>
    <mergeCell ref="J50:K50"/>
    <mergeCell ref="AA48:AF48"/>
    <mergeCell ref="AA49:AF49"/>
    <mergeCell ref="AA50:AF50"/>
    <mergeCell ref="AA51:AF51"/>
    <mergeCell ref="AA47:AF47"/>
    <mergeCell ref="D50:E50"/>
    <mergeCell ref="F51:G51"/>
    <mergeCell ref="J49:K49"/>
    <mergeCell ref="J51:K51"/>
    <mergeCell ref="D48:E48"/>
    <mergeCell ref="F48:G48"/>
    <mergeCell ref="H48:I48"/>
    <mergeCell ref="H49:I49"/>
    <mergeCell ref="R51:S51"/>
    <mergeCell ref="L51:M51"/>
    <mergeCell ref="N51:O51"/>
    <mergeCell ref="P51:Q51"/>
    <mergeCell ref="L50:M50"/>
    <mergeCell ref="N50:O50"/>
    <mergeCell ref="C61:G61"/>
    <mergeCell ref="M61:Q61"/>
    <mergeCell ref="X61:AA61"/>
    <mergeCell ref="AE29:AE30"/>
    <mergeCell ref="AF29:AF30"/>
    <mergeCell ref="V29:V30"/>
    <mergeCell ref="B28:L30"/>
    <mergeCell ref="Q28:T28"/>
    <mergeCell ref="Y28:AB28"/>
    <mergeCell ref="Y29:Y30"/>
    <mergeCell ref="Z29:Z30"/>
    <mergeCell ref="D52:E52"/>
    <mergeCell ref="F52:G52"/>
    <mergeCell ref="R52:S52"/>
    <mergeCell ref="L52:M52"/>
    <mergeCell ref="N52:O52"/>
    <mergeCell ref="P52:Q52"/>
    <mergeCell ref="P50:Q50"/>
    <mergeCell ref="J48:K48"/>
    <mergeCell ref="H50:I50"/>
    <mergeCell ref="H51:I51"/>
    <mergeCell ref="H52:I52"/>
    <mergeCell ref="F49:G49"/>
    <mergeCell ref="F50:G50"/>
  </mergeCells>
  <phoneticPr fontId="3" type="noConversion"/>
  <pageMargins left="0.78740157480314965" right="7.874015748031496E-2" top="0.78740157480314965" bottom="0.78740157480314965" header="0.31496062992125984" footer="0.31496062992125984"/>
  <pageSetup paperSize="9" scale="33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AE37:AF37 R10 R23 M36 F53:G53" formulaRange="1"/>
    <ignoredError sqref="AA37:AB37 O37 M37 P37 S37:T37 W37:Y37" evalError="1" formulaRange="1"/>
    <ignoredError sqref="AC37:AD37 P35 N37 R37 V37 Z37 P33:P34 X32 AD6:AF6 T33:T34 AD19:AF19 X33:X34 P32 X35 T32 T35 AB33:AB34 AB32 AB35" evalError="1"/>
    <ignoredError sqref="AC36:AD36 P36 Y36:Z36 U36:V36" evalError="1" formula="1" formulaRange="1"/>
    <ignoredError sqref="T36 X36 AB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Orchestra</cp:lastModifiedBy>
  <cp:lastPrinted>2020-08-31T10:30:52Z</cp:lastPrinted>
  <dcterms:created xsi:type="dcterms:W3CDTF">2003-03-13T16:00:22Z</dcterms:created>
  <dcterms:modified xsi:type="dcterms:W3CDTF">2020-08-31T10:35:09Z</dcterms:modified>
</cp:coreProperties>
</file>