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10.xml.rels" ContentType="application/vnd.openxmlformats-package.relationships+xml"/>
  <Override PartName="/xl/externalLinks/_rels/externalLink1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сн. фін. пок." sheetId="1" state="visible" r:id="rId2"/>
    <sheet name="I. Фін результат" sheetId="2" state="visible" r:id="rId3"/>
    <sheet name="ІІ. Розр. з бюджетом" sheetId="3" state="visible" r:id="rId4"/>
    <sheet name="ІІІ. Рух грош. коштів" sheetId="4" state="visible" r:id="rId5"/>
    <sheet name="IV. Кап. інвестиції" sheetId="5" state="visible" r:id="rId6"/>
    <sheet name=" V. Коефіцієнти" sheetId="6" state="visible" r:id="rId7"/>
    <sheet name="6.1. Інша інфо_1" sheetId="7" state="visible" r:id="rId8"/>
    <sheet name="6.2. Інша інфо_2" sheetId="8" state="visible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function="false" hidden="false" localSheetId="5" name="_xlnm.Print_Area" vbProcedure="false">' V. Коефіцієнти'!$A$1:$H$28</definedName>
    <definedName function="false" hidden="false" localSheetId="5" name="_xlnm.Print_Titles" vbProcedure="false">' V. Коефіцієнти'!$5:$5</definedName>
    <definedName function="false" hidden="false" localSheetId="6" name="_xlnm.Print_Area" vbProcedure="false">'6.1. Інша інфо_1'!$A$1:$O$84</definedName>
    <definedName function="false" hidden="false" localSheetId="7" name="_xlnm.Print_Area" vbProcedure="false">'6.2. Інша інфо_2'!$A$1:$AF$59</definedName>
    <definedName function="false" hidden="false" localSheetId="2" name="_xlnm.Print_Area" vbProcedure="false">'ІІ. Розр. з бюджетом'!$A$1:$H$48</definedName>
    <definedName function="false" hidden="false" localSheetId="2" name="_xlnm.Print_Titles" vbProcedure="false">'ІІ. Розр. з бюджетом'!$3:$5</definedName>
    <definedName function="false" hidden="false" localSheetId="3" name="_xlnm.Print_Area" vbProcedure="false">'ІІІ. Рух грош. коштів'!$A$1:$H$84</definedName>
    <definedName function="false" hidden="false" localSheetId="3" name="_xlnm.Print_Titles" vbProcedure="false">'ІІІ. Рух грош. коштів'!$3:$5</definedName>
    <definedName function="false" hidden="false" localSheetId="0" name="_xlnm.Print_Area" vbProcedure="false">'Осн. фін. пок.'!$A$1:$H$164</definedName>
    <definedName function="false" hidden="false" localSheetId="0" name="_xlnm.Print_Titles" vbProcedure="false">'Осн. фін. пок.'!$17:$19</definedName>
    <definedName function="false" hidden="false" localSheetId="1" name="_xlnm.Print_Area" vbProcedure="false">'I. Фін результат'!$A$1:$I$103</definedName>
    <definedName function="false" hidden="false" localSheetId="1" name="_xlnm.Print_Titles" vbProcedure="false">'I. Фін результат'!$3:$5</definedName>
    <definedName function="false" hidden="false" localSheetId="4" name="_xlnm.Print_Area" vbProcedure="false">'IV. Кап. інвестиції'!$A$1:$H$17</definedName>
    <definedName function="false" hidden="false" name="aa" vbProcedure="false">(NA(),NA())</definedName>
    <definedName function="false" hidden="false" name="ad" vbProcedure="false">NA()</definedName>
    <definedName function="false" hidden="false" name="as" vbProcedure="false">NA()</definedName>
    <definedName function="false" hidden="false" name="asdf" vbProcedure="false">NA()</definedName>
    <definedName function="false" hidden="false" name="asdfg" vbProcedure="false">NA()</definedName>
    <definedName function="false" hidden="false" name="BuiltIn_Print_Area___1___1" vbProcedure="false">NA()</definedName>
    <definedName function="false" hidden="false" name="ClDate" vbProcedure="false">[2]Inform!$E$6</definedName>
    <definedName function="false" hidden="false" name="ClDate_21" vbProcedure="false">NA()</definedName>
    <definedName function="false" hidden="false" name="ClDate_25" vbProcedure="false">NA()</definedName>
    <definedName function="false" hidden="false" name="ClDate_6" vbProcedure="false">[3]Inform!$E$6</definedName>
    <definedName function="false" hidden="false" name="CompName" vbProcedure="false">[2]Inform!$F$2</definedName>
    <definedName function="false" hidden="false" name="CompNameE" vbProcedure="false">[2]Inform!$G$2</definedName>
    <definedName function="false" hidden="false" name="CompNameE_21" vbProcedure="false">NA()</definedName>
    <definedName function="false" hidden="false" name="CompNameE_25" vbProcedure="false">NA()</definedName>
    <definedName function="false" hidden="false" name="CompNameE_6" vbProcedure="false">[3]Inform!$G$2</definedName>
    <definedName function="false" hidden="false" name="CompName_21" vbProcedure="false">NA()</definedName>
    <definedName function="false" hidden="false" name="CompName_25" vbProcedure="false">NA()</definedName>
    <definedName function="false" hidden="false" name="CompName_6" vbProcedure="false">[3]Inform!$F$2</definedName>
    <definedName function="false" hidden="false" name="Cost_Category_National_ID" vbProcedure="false">NA()</definedName>
    <definedName function="false" hidden="false" name="Cе511" vbProcedure="false">NA()</definedName>
    <definedName function="false" hidden="false" name="d" vbProcedure="false">NA()</definedName>
    <definedName function="false" hidden="false" name="dCPIb" vbProcedure="false">NA()</definedName>
    <definedName function="false" hidden="false" name="dPPIb" vbProcedure="false">NA()</definedName>
    <definedName function="false" hidden="false" name="ds" vbProcedure="false">NA()</definedName>
    <definedName function="false" hidden="false" name="Excel_BuiltIn_Database" vbProcedure="false">NA()</definedName>
    <definedName function="false" hidden="false" name="Fact_Type_ID" vbProcedure="false">NA()</definedName>
    <definedName function="false" hidden="false" name="G" vbProcedure="false">NA()</definedName>
    <definedName function="false" hidden="false" name="ij1sssss" vbProcedure="false">NA()</definedName>
    <definedName function="false" hidden="false" name="LastItem" vbProcedure="false">[1]Лист1!$A$1</definedName>
    <definedName function="false" hidden="false" name="Load" vbProcedure="false">NA()</definedName>
    <definedName function="false" hidden="false" name="Load_ID" vbProcedure="false">[4]'МТР Газ України'!$B$4</definedName>
    <definedName function="false" hidden="false" name="Load_ID_10" vbProcedure="false">[5]'7  Інші витрати'!$IV$65536</definedName>
    <definedName function="false" hidden="false" name="Load_ID_11" vbProcedure="false">[6]'МТР Газ України'!$B$4</definedName>
    <definedName function="false" hidden="false" name="Load_ID_12" vbProcedure="false">[6]'МТР Газ України'!$B$4</definedName>
    <definedName function="false" hidden="false" name="Load_ID_13" vbProcedure="false">[6]'МТР Газ України'!$B$4</definedName>
    <definedName function="false" hidden="false" name="Load_ID_14" vbProcedure="false">[6]'МТР Газ України'!$B$4</definedName>
    <definedName function="false" hidden="false" name="Load_ID_15" vbProcedure="false">[6]'МТР Газ України'!$B$4</definedName>
    <definedName function="false" hidden="false" name="Load_ID_16" vbProcedure="false">[6]'МТР Газ України'!$B$4</definedName>
    <definedName function="false" hidden="false" name="Load_ID_17" vbProcedure="false">[6]'МТР Газ України'!$B$4</definedName>
    <definedName function="false" hidden="false" name="Load_ID_18" vbProcedure="false">[7]'МТР Газ України'!$B$4</definedName>
    <definedName function="false" hidden="false" name="Load_ID_19" vbProcedure="false">[8]'МТР Газ України'!$B$4</definedName>
    <definedName function="false" hidden="false" name="Load_ID_20" vbProcedure="false">[7]'МТР Газ України'!$B$4</definedName>
    <definedName function="false" hidden="false" name="Load_ID_200" vbProcedure="false">NA()</definedName>
    <definedName function="false" hidden="false" name="Load_ID_21" vbProcedure="false">NA()</definedName>
    <definedName function="false" hidden="false" name="Load_ID_23" vbProcedure="false">[8]'МТР Газ України'!$B$4</definedName>
    <definedName function="false" hidden="false" name="Load_ID_25" vbProcedure="false">NA()</definedName>
    <definedName function="false" hidden="false" name="Load_ID_542" vbProcedure="false">NA()</definedName>
    <definedName function="false" hidden="false" name="Load_ID_6" vbProcedure="false">[6]'МТР Газ України'!$B$4</definedName>
    <definedName function="false" hidden="false" name="OpDate" vbProcedure="false">[2]Inform!$E$5</definedName>
    <definedName function="false" hidden="false" name="OpDate_21" vbProcedure="false">NA()</definedName>
    <definedName function="false" hidden="false" name="OpDate_25" vbProcedure="false">NA()</definedName>
    <definedName function="false" hidden="false" name="OpDate_6" vbProcedure="false">[3]Inform!$E$5</definedName>
    <definedName function="false" hidden="false" name="QR" vbProcedure="false">NA()</definedName>
    <definedName function="false" hidden="false" name="qw" vbProcedure="false">NA()</definedName>
    <definedName function="false" hidden="false" name="qwert" vbProcedure="false">NA()</definedName>
    <definedName function="false" hidden="false" name="qwerty" vbProcedure="false">NA()</definedName>
    <definedName function="false" hidden="false" name="ShowFil" vbProcedure="false">[1]!ShowFil</definedName>
    <definedName function="false" hidden="false" name="SU_ID" vbProcedure="false">NA()</definedName>
    <definedName function="false" hidden="false" name="Time_ID" vbProcedure="false">[4]'МТР Газ України'!$B$1</definedName>
    <definedName function="false" hidden="false" name="Time_ID0" vbProcedure="false">[4]'МТР Газ України'!$F$1</definedName>
    <definedName function="false" hidden="false" name="Time_ID0_10" vbProcedure="false">[5]'7  Інші витрати'!$IV$65536</definedName>
    <definedName function="false" hidden="false" name="Time_ID0_11" vbProcedure="false">[6]'МТР Газ України'!$F$1</definedName>
    <definedName function="false" hidden="false" name="Time_ID0_12" vbProcedure="false">[6]'МТР Газ України'!$F$1</definedName>
    <definedName function="false" hidden="false" name="Time_ID0_13" vbProcedure="false">[6]'МТР Газ України'!$F$1</definedName>
    <definedName function="false" hidden="false" name="Time_ID0_14" vbProcedure="false">[6]'МТР Газ України'!$F$1</definedName>
    <definedName function="false" hidden="false" name="Time_ID0_15" vbProcedure="false">[6]'МТР Газ України'!$F$1</definedName>
    <definedName function="false" hidden="false" name="Time_ID0_16" vbProcedure="false">[6]'МТР Газ України'!$F$1</definedName>
    <definedName function="false" hidden="false" name="Time_ID0_17" vbProcedure="false">[6]'МТР Газ України'!$F$1</definedName>
    <definedName function="false" hidden="false" name="Time_ID0_18" vbProcedure="false">[7]'МТР Газ України'!$F$1</definedName>
    <definedName function="false" hidden="false" name="Time_ID0_19" vbProcedure="false">[8]'МТР Газ України'!$F$1</definedName>
    <definedName function="false" hidden="false" name="Time_ID0_20" vbProcedure="false">[7]'МТР Газ України'!$F$1</definedName>
    <definedName function="false" hidden="false" name="Time_ID0_21" vbProcedure="false">NA()</definedName>
    <definedName function="false" hidden="false" name="Time_ID0_23" vbProcedure="false">[8]'МТР Газ України'!$F$1</definedName>
    <definedName function="false" hidden="false" name="Time_ID0_25" vbProcedure="false">NA()</definedName>
    <definedName function="false" hidden="false" name="Time_ID0_6" vbProcedure="false">[6]'МТР Газ України'!$F$1</definedName>
    <definedName function="false" hidden="false" name="Time_ID_10" vbProcedure="false">[5]'7  Інші витрати'!$IV$65536</definedName>
    <definedName function="false" hidden="false" name="Time_ID_11" vbProcedure="false">[6]'МТР Газ України'!$B$1</definedName>
    <definedName function="false" hidden="false" name="Time_ID_12" vbProcedure="false">[6]'МТР Газ України'!$B$1</definedName>
    <definedName function="false" hidden="false" name="Time_ID_13" vbProcedure="false">[6]'МТР Газ України'!$B$1</definedName>
    <definedName function="false" hidden="false" name="Time_ID_14" vbProcedure="false">[6]'МТР Газ України'!$B$1</definedName>
    <definedName function="false" hidden="false" name="Time_ID_15" vbProcedure="false">[6]'МТР Газ України'!$B$1</definedName>
    <definedName function="false" hidden="false" name="Time_ID_16" vbProcedure="false">[6]'МТР Газ України'!$B$1</definedName>
    <definedName function="false" hidden="false" name="Time_ID_17" vbProcedure="false">[6]'МТР Газ України'!$B$1</definedName>
    <definedName function="false" hidden="false" name="Time_ID_18" vbProcedure="false">[7]'МТР Газ України'!$B$1</definedName>
    <definedName function="false" hidden="false" name="Time_ID_19" vbProcedure="false">[8]'МТР Газ України'!$B$1</definedName>
    <definedName function="false" hidden="false" name="Time_ID_20" vbProcedure="false">[7]'МТР Газ України'!$B$1</definedName>
    <definedName function="false" hidden="false" name="Time_ID_21" vbProcedure="false">NA()</definedName>
    <definedName function="false" hidden="false" name="Time_ID_23" vbProcedure="false">[8]'МТР Газ України'!$B$1</definedName>
    <definedName function="false" hidden="false" name="Time_ID_25" vbProcedure="false">NA()</definedName>
    <definedName function="false" hidden="false" name="Time_ID_6" vbProcedure="false">[6]'МТР Газ України'!$B$1</definedName>
    <definedName function="false" hidden="false" name="ttttttt" vbProcedure="false">NA()</definedName>
    <definedName function="false" hidden="false" name="Unit" vbProcedure="false">[2]Inform!$E$38</definedName>
    <definedName function="false" hidden="false" name="Unit_21" vbProcedure="false">NA()</definedName>
    <definedName function="false" hidden="false" name="Unit_25" vbProcedure="false">NA()</definedName>
    <definedName function="false" hidden="false" name="Unit_6" vbProcedure="false">[3]Inform!$E$38</definedName>
    <definedName function="false" hidden="false" name="WQER" vbProcedure="false">NA()</definedName>
    <definedName function="false" hidden="false" name="wr" vbProcedure="false">NA()</definedName>
    <definedName function="false" hidden="false" name="yyyy" vbProcedure="false">NA()</definedName>
    <definedName function="false" hidden="false" name="zx" vbProcedure="false">NA()</definedName>
    <definedName function="false" hidden="false" name="zxc" vbProcedure="false">NA()</definedName>
    <definedName function="false" hidden="false" name="__123Graph_XGRAPH3" vbProcedure="false">NA()</definedName>
    <definedName function="false" hidden="false" name="є" vbProcedure="false">NA()</definedName>
    <definedName function="false" hidden="false" name="і" vbProcedure="false">NA()</definedName>
    <definedName function="false" hidden="false" name="ів" vbProcedure="false">NA()</definedName>
    <definedName function="false" hidden="false" name="ів_22" vbProcedure="false">NA()</definedName>
    <definedName function="false" hidden="false" name="ів_26" vbProcedure="false">NA()</definedName>
    <definedName function="false" hidden="false" name="ів___0" vbProcedure="false">NA()</definedName>
    <definedName function="false" hidden="false" name="івів" vbProcedure="false">NA()</definedName>
    <definedName function="false" hidden="false" name="іваіа" vbProcedure="false">[9]'7  Інші витрати'!$IV$65536</definedName>
    <definedName function="false" hidden="false" name="іваф" vbProcedure="false">NA()</definedName>
    <definedName function="false" hidden="false" name="іцу" vbProcedure="false">NA()</definedName>
    <definedName function="false" hidden="false" name="а" vbProcedure="false">NA()</definedName>
    <definedName function="false" hidden="false" name="ав" vbProcedure="false">NA()</definedName>
    <definedName function="false" hidden="false" name="аен" vbProcedure="false">NA()</definedName>
    <definedName function="false" hidden="false" name="в" vbProcedure="false">NA()</definedName>
    <definedName function="false" hidden="false" name="ватт" vbProcedure="false">NA()</definedName>
    <definedName function="false" hidden="false" name="Д" vbProcedure="false">NA()</definedName>
    <definedName function="false" hidden="false" name="е" vbProcedure="false">NA()</definedName>
    <definedName function="false" hidden="false" name="Заголовки_для_печати_МИ" vbProcedure="false">(NA(),NA())</definedName>
    <definedName function="false" hidden="false" name="йуц" vbProcedure="false">NA()</definedName>
    <definedName function="false" hidden="false" name="йцу" vbProcedure="false">NA()</definedName>
    <definedName function="false" hidden="false" name="йцуйй" vbProcedure="false">NA()</definedName>
    <definedName function="false" hidden="false" name="йцукц" vbProcedure="false">[9]'7  Інші витрати'!$IV$65536</definedName>
    <definedName function="false" hidden="false" name="КЕ" vbProcedure="false">NA()</definedName>
    <definedName function="false" hidden="false" name="КЕ_22" vbProcedure="false">NA()</definedName>
    <definedName function="false" hidden="false" name="КЕ_26" vbProcedure="false">NA()</definedName>
    <definedName function="false" hidden="false" name="КЕ___0" vbProcedure="false">NA()</definedName>
    <definedName function="false" hidden="false" name="кен" vbProcedure="false">NA()</definedName>
    <definedName function="false" hidden="false" name="л" vbProcedure="false">NA()</definedName>
    <definedName function="false" hidden="false" name="п" vbProcedure="false">NA()</definedName>
    <definedName function="false" hidden="false" name="пдв" vbProcedure="false">NA()</definedName>
    <definedName function="false" hidden="false" name="пдв_утг" vbProcedure="false">NA()</definedName>
    <definedName function="false" hidden="false" name="План" vbProcedure="false">NA()</definedName>
    <definedName function="false" hidden="false"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 vbProcedure="false">NA()</definedName>
    <definedName function="false" hidden="false" name="ппп" vbProcedure="false">[10]Inform!$E$6</definedName>
    <definedName function="false" hidden="false" name="р" vbProcedure="false">NA()</definedName>
    <definedName function="false" hidden="false" name="т" vbProcedure="false">NA()</definedName>
    <definedName function="false" hidden="false" name="тариф" vbProcedure="false">[11]Inform!$G$2</definedName>
    <definedName function="false" hidden="false" name="уйцукйцуйу" vbProcedure="false">NA()</definedName>
    <definedName function="false" hidden="false" name="уке" vbProcedure="false">NA()</definedName>
    <definedName function="false" hidden="false" name="УТГ" vbProcedure="false">NA()</definedName>
    <definedName function="false" hidden="false" name="фів" vbProcedure="false">NA()</definedName>
    <definedName function="false" hidden="false" name="фіваіф" vbProcedure="false">[9]'7  Інші витрати'!$IV$65536</definedName>
    <definedName function="false" hidden="false" name="фф" vbProcedure="false">NA()</definedName>
    <definedName function="false" hidden="false" name="ц" vbProcedure="false">NA()</definedName>
    <definedName function="false" hidden="false" name="ччч" vbProcedure="false">NA()</definedName>
    <definedName function="false" hidden="false" name="ш" vbProcedure="false">NA()</definedName>
    <definedName function="false" hidden="false" localSheetId="0" name="Excel_BuiltIn_Print_Titles" vbProcedure="false">'Осн. фін. пок.'!$17:$19</definedName>
    <definedName function="false" hidden="false" localSheetId="1" name="Excel_BuiltIn_Print_Titles" vbProcedure="false">'I. Фін результат'!$3:$5</definedName>
    <definedName function="false" hidden="false" localSheetId="2" name="Excel_BuiltIn_Print_Titles" vbProcedure="false">'ІІ. Розр. з бюджетом'!$3:$5</definedName>
    <definedName function="false" hidden="false" localSheetId="3" name="Excel_BuiltIn_Print_Titles" vbProcedure="false">'ІІІ. Рух грош. коштів'!$3:$5</definedName>
    <definedName function="false" hidden="false" localSheetId="5" name="Excel_BuiltIn_Print_Titles" vbProcedure="false">' V. Коефіцієнти'!$5:$5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<sst xmlns="http://schemas.openxmlformats.org/spreadsheetml/2006/main" count="874" uniqueCount="443">
  <si>
    <t xml:space="preserve">Додаток 3</t>
  </si>
  <si>
    <t xml:space="preserve">до Порядку складання, затвердження </t>
  </si>
  <si>
    <t xml:space="preserve">та контролю виконання фінансового плану </t>
  </si>
  <si>
    <t xml:space="preserve">суб'єкта господарювання державного сектору економіки</t>
  </si>
  <si>
    <t xml:space="preserve">(пункт 11)</t>
  </si>
  <si>
    <t xml:space="preserve">ЗВЕДЕНИЙ ЗВІТ</t>
  </si>
  <si>
    <t xml:space="preserve">про виконання фінансових планів комунальних підприємств</t>
  </si>
  <si>
    <t xml:space="preserve">за 3 квартал 2019 року</t>
  </si>
  <si>
    <t xml:space="preserve">Основні фінансові показники</t>
  </si>
  <si>
    <t xml:space="preserve">Найменування показника</t>
  </si>
  <si>
    <t xml:space="preserve">Код рядка </t>
  </si>
  <si>
    <t xml:space="preserve">Факт наростаючим підсумком з початку року</t>
  </si>
  <si>
    <t xml:space="preserve">Звітний період (квартал)</t>
  </si>
  <si>
    <t xml:space="preserve">минулий рік</t>
  </si>
  <si>
    <t xml:space="preserve">поточний рік</t>
  </si>
  <si>
    <t xml:space="preserve">план </t>
  </si>
  <si>
    <t xml:space="preserve">факт</t>
  </si>
  <si>
    <t xml:space="preserve">відхилення,  +/–</t>
  </si>
  <si>
    <t xml:space="preserve">виконання, %</t>
  </si>
  <si>
    <t xml:space="preserve">І. Формування фінансових результатів</t>
  </si>
  <si>
    <t xml:space="preserve">Чистий дохід від реалізації продукції (товарів, робіт, послуг)</t>
  </si>
  <si>
    <t xml:space="preserve">Собівартість реалізованої продукції (товарів, робіт, послуг)</t>
  </si>
  <si>
    <t xml:space="preserve">Валовий прибуток/збиток</t>
  </si>
  <si>
    <t xml:space="preserve">Адміністративні витрати, у тому числі:</t>
  </si>
  <si>
    <t xml:space="preserve">витрати, пов'язані з використанням власних службових автомобілів</t>
  </si>
  <si>
    <t xml:space="preserve">витрати на оренду службових автомобілів</t>
  </si>
  <si>
    <t xml:space="preserve">витрати на консалтингові послуги</t>
  </si>
  <si>
    <t xml:space="preserve">витрати на страхові послуги</t>
  </si>
  <si>
    <t xml:space="preserve">витрати на аудиторські послуги</t>
  </si>
  <si>
    <t xml:space="preserve">Витрати на збут</t>
  </si>
  <si>
    <t xml:space="preserve">Інші операційні доходи, у тому числі:</t>
  </si>
  <si>
    <t xml:space="preserve">курсові різниці</t>
  </si>
  <si>
    <t xml:space="preserve">нетипові операційні доходи</t>
  </si>
  <si>
    <t xml:space="preserve">Інші операційні витрати, у тому числі:</t>
  </si>
  <si>
    <t xml:space="preserve">нетипові операційні витрати</t>
  </si>
  <si>
    <t xml:space="preserve">Фінансовий результат від операційної діяльності</t>
  </si>
  <si>
    <t xml:space="preserve">EBITDA</t>
  </si>
  <si>
    <t xml:space="preserve">Рентабельність EBITDA</t>
  </si>
  <si>
    <t xml:space="preserve">Дохід від участі в капіталі</t>
  </si>
  <si>
    <t xml:space="preserve">Втрати від участі в капіталі</t>
  </si>
  <si>
    <t xml:space="preserve">Інші фінансові доходи</t>
  </si>
  <si>
    <t xml:space="preserve">Фінансові витрати</t>
  </si>
  <si>
    <t xml:space="preserve">Інші доходи, усього, у тому числі:</t>
  </si>
  <si>
    <t xml:space="preserve">Інші витрати, усього, у тому числі:</t>
  </si>
  <si>
    <t xml:space="preserve">Фінансовий результат до оподаткування</t>
  </si>
  <si>
    <t xml:space="preserve">Витрати з податку на прибуток</t>
  </si>
  <si>
    <t xml:space="preserve"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</si>
  <si>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</si>
  <si>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</si>
  <si>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 xml:space="preserve">Чистий фінансовий результат</t>
  </si>
  <si>
    <t xml:space="preserve">Прибуток </t>
  </si>
  <si>
    <t xml:space="preserve">Збиток</t>
  </si>
  <si>
    <t xml:space="preserve">Усього доходів</t>
  </si>
  <si>
    <t xml:space="preserve">Усього витрат</t>
  </si>
  <si>
    <t xml:space="preserve">Неконтрольована частка</t>
  </si>
  <si>
    <t xml:space="preserve">Елементи операційних витрат</t>
  </si>
  <si>
    <t xml:space="preserve">Матеріальні витрати, у тому числі:</t>
  </si>
  <si>
    <t xml:space="preserve">витрати на сировину та основні матеріали</t>
  </si>
  <si>
    <t xml:space="preserve">витрати на паливо та енергію</t>
  </si>
  <si>
    <t xml:space="preserve">Витрати на оплату праці</t>
  </si>
  <si>
    <t xml:space="preserve">Відрахування на соціальні заходи</t>
  </si>
  <si>
    <t xml:space="preserve">Амортизація</t>
  </si>
  <si>
    <t xml:space="preserve">Інші операційні витрати</t>
  </si>
  <si>
    <t xml:space="preserve">Усього</t>
  </si>
  <si>
    <t xml:space="preserve">IІ. Розрахунки з бюджетом</t>
  </si>
  <si>
    <t xml:space="preserve">Розподіл чистого прибутку</t>
  </si>
  <si>
    <t xml:space="preserve">Залишок нерозподіленого прибутку (непокритого збитку) на початок звітного періоду</t>
  </si>
  <si>
    <t xml:space="preserve">Нараховані до сплати відрахування частини чистого прибутку, усього, у тому числі:</t>
  </si>
  <si>
    <t xml:space="preserve">державними унітарними підприємствами та їх об'єднаннями до державного бюджету</t>
  </si>
  <si>
    <t xml:space="preserve">господарськими товариствами, у статутному капіталі яких більше 50 відсотків акцій (часток) належать державі, на виплату дивідендів</t>
  </si>
  <si>
    <t xml:space="preserve">у тому числі на державну частку</t>
  </si>
  <si>
    <t xml:space="preserve">2012/1</t>
  </si>
  <si>
    <t xml:space="preserve">Перенесено з додаткового капіталу</t>
  </si>
  <si>
    <t xml:space="preserve">Розвиток виробництва</t>
  </si>
  <si>
    <t xml:space="preserve">Резервний фонд</t>
  </si>
  <si>
    <t xml:space="preserve">Інші фонди</t>
  </si>
  <si>
    <t xml:space="preserve">Інші цілі</t>
  </si>
  <si>
    <t xml:space="preserve"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</si>
  <si>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</si>
  <si>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 xml:space="preserve">Сплата податків та зборів до Державного бюджету України (податкові платежі), усього, у тому числі:</t>
  </si>
  <si>
    <t xml:space="preserve">податок на прибуток підприємств</t>
  </si>
  <si>
    <t xml:space="preserve">ПДВ, що підлягає сплаті до бюджету за підсумками звітного періоду</t>
  </si>
  <si>
    <t xml:space="preserve">ПДВ, що підлягає відшкодуванню з бюджету за підсумками звітного періоду</t>
  </si>
  <si>
    <t xml:space="preserve">акцизний податок</t>
  </si>
  <si>
    <t xml:space="preserve">відрахування частини чистого прибутку державними унітарними підприємствами та їх об'єднаннями</t>
  </si>
  <si>
    <t xml:space="preserve">рентна плата за транспортування</t>
  </si>
  <si>
    <t xml:space="preserve">рентна плата за користування надрами</t>
  </si>
  <si>
    <t xml:space="preserve">Сплата податків та зборів до місцевих бюджетів (податкові платежі)</t>
  </si>
  <si>
    <t xml:space="preserve">Інші податки, збори та платежі на користь держави,
усього, у тому числі:</t>
  </si>
  <si>
    <t xml:space="preserve"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</si>
  <si>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</si>
  <si>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 xml:space="preserve">Усього виплат на користь держави</t>
  </si>
  <si>
    <t xml:space="preserve">IІІ. Рух грошових коштів</t>
  </si>
  <si>
    <t xml:space="preserve">Залишок коштів на початок періоду</t>
  </si>
  <si>
    <t xml:space="preserve">Цільове фінансування</t>
  </si>
  <si>
    <t xml:space="preserve">Чистий рух коштів від операційної діяльності</t>
  </si>
  <si>
    <t xml:space="preserve">Чистий рух коштів від інвестиційної діяльності </t>
  </si>
  <si>
    <t xml:space="preserve">Чистий рух коштів від фінансової діяльності</t>
  </si>
  <si>
    <t xml:space="preserve">Вплив зміни валютних курсів на залишок коштів </t>
  </si>
  <si>
    <t xml:space="preserve">Залишок коштів на кінець періоду</t>
  </si>
  <si>
    <t xml:space="preserve">ІV. Капітальні інвестиції</t>
  </si>
  <si>
    <t xml:space="preserve">Капітальні інвестиції, усього, у тому числі:</t>
  </si>
  <si>
    <t xml:space="preserve">капітальне будівництво</t>
  </si>
  <si>
    <t xml:space="preserve">4010</t>
  </si>
  <si>
    <t xml:space="preserve">придбання (виготовлення) основних засобів</t>
  </si>
  <si>
    <t xml:space="preserve">придбання (виготовлення) інших необоротних матеріальних активів</t>
  </si>
  <si>
    <t xml:space="preserve">придбання (створення) нематеріальних активів</t>
  </si>
  <si>
    <t xml:space="preserve">модернізація, модифікація (добудова, дообладнання, реконструкція) основних засобів</t>
  </si>
  <si>
    <t xml:space="preserve">капітальний ремонт</t>
  </si>
  <si>
    <t xml:space="preserve">Джерела капітальних інвестицій, усього, у тому числі:</t>
  </si>
  <si>
    <t xml:space="preserve">залучені кредитні кошти</t>
  </si>
  <si>
    <t xml:space="preserve">4000/1</t>
  </si>
  <si>
    <t xml:space="preserve">бюджетне фінансування</t>
  </si>
  <si>
    <t xml:space="preserve">4000/2</t>
  </si>
  <si>
    <t xml:space="preserve">власні кошти</t>
  </si>
  <si>
    <t xml:space="preserve">4000/3</t>
  </si>
  <si>
    <t xml:space="preserve">інші джерела</t>
  </si>
  <si>
    <t xml:space="preserve">4000/4</t>
  </si>
  <si>
    <t xml:space="preserve">V. Коефіцієнтний аналіз</t>
  </si>
  <si>
    <t xml:space="preserve">Рентабельність діяльності</t>
  </si>
  <si>
    <t xml:space="preserve">x</t>
  </si>
  <si>
    <t xml:space="preserve">Рентабельність активів</t>
  </si>
  <si>
    <t xml:space="preserve">Рентабельність власного капіталу</t>
  </si>
  <si>
    <t xml:space="preserve">Коефіцієнт фінансової стійкості</t>
  </si>
  <si>
    <t xml:space="preserve">Коефіцієнт зносу основних засобів</t>
  </si>
  <si>
    <t xml:space="preserve">VI. Звіт про фінансовий стан</t>
  </si>
  <si>
    <t xml:space="preserve">Необоротні активи, усього, у тому числі:</t>
  </si>
  <si>
    <t xml:space="preserve">Основні засоби</t>
  </si>
  <si>
    <t xml:space="preserve">первісна вартість</t>
  </si>
  <si>
    <t xml:space="preserve">знос</t>
  </si>
  <si>
    <t xml:space="preserve">Оборотні активи, усього, у тому числі:</t>
  </si>
  <si>
    <t xml:space="preserve">Гроші та їх еквіваленти</t>
  </si>
  <si>
    <t xml:space="preserve">Усього активи</t>
  </si>
  <si>
    <t xml:space="preserve">Довгострокові зобов'язання і забезпечення</t>
  </si>
  <si>
    <t xml:space="preserve">Поточні зобов'язання і забезпечення</t>
  </si>
  <si>
    <t xml:space="preserve">Усього зобов'язання і забезпечення</t>
  </si>
  <si>
    <t xml:space="preserve">У тому числі державні гранти і субсидії</t>
  </si>
  <si>
    <t xml:space="preserve">У тому числі фінансові запозичення</t>
  </si>
  <si>
    <t xml:space="preserve">Власний капітал</t>
  </si>
  <si>
    <t xml:space="preserve">VІI. Кредитна політика</t>
  </si>
  <si>
    <t xml:space="preserve">Отримано залучених коштів, усього, у тому числі:</t>
  </si>
  <si>
    <t xml:space="preserve">7000</t>
  </si>
  <si>
    <t xml:space="preserve">довгострокові зобов'язання</t>
  </si>
  <si>
    <t xml:space="preserve">7001</t>
  </si>
  <si>
    <t xml:space="preserve">короткострокові зобов'язання</t>
  </si>
  <si>
    <t xml:space="preserve">7002</t>
  </si>
  <si>
    <t xml:space="preserve">інші фінансові зобов'язання</t>
  </si>
  <si>
    <t xml:space="preserve">7003</t>
  </si>
  <si>
    <t xml:space="preserve">Повернено залучених коштів, усього, у тому числі:</t>
  </si>
  <si>
    <t xml:space="preserve">7010</t>
  </si>
  <si>
    <t xml:space="preserve">7011</t>
  </si>
  <si>
    <t xml:space="preserve">7012</t>
  </si>
  <si>
    <t xml:space="preserve">7013</t>
  </si>
  <si>
    <t xml:space="preserve">VIII. Дані про персонал та витрати на оплату праці</t>
  </si>
  <si>
    <r>
      <rPr>
        <b val="true"/>
        <sz val="14"/>
        <color rgb="FF000000"/>
        <rFont val="Times New Roman"/>
        <family val="1"/>
        <charset val="204"/>
      </rPr>
      <t xml:space="preserve">Середня кількість працівників </t>
    </r>
    <r>
      <rPr>
        <sz val="14"/>
        <color rgb="FF000000"/>
        <rFont val="Times New Roman"/>
        <family val="1"/>
        <charset val="204"/>
      </rPr>
      <t xml:space="preserve">(штатних працівників, зовнішніх сумісників та працівників, які працюють за цивільно-правовими договорами)</t>
    </r>
    <r>
      <rPr>
        <b val="true"/>
        <sz val="14"/>
        <color rgb="FF000000"/>
        <rFont val="Times New Roman"/>
        <family val="1"/>
        <charset val="204"/>
      </rPr>
      <t xml:space="preserve">, у тому числі:</t>
    </r>
  </si>
  <si>
    <t xml:space="preserve">8000</t>
  </si>
  <si>
    <t xml:space="preserve">члени наглядової ради</t>
  </si>
  <si>
    <t xml:space="preserve">8001</t>
  </si>
  <si>
    <t xml:space="preserve">члени правління</t>
  </si>
  <si>
    <t xml:space="preserve">8002</t>
  </si>
  <si>
    <t xml:space="preserve">керівник</t>
  </si>
  <si>
    <t xml:space="preserve">8003</t>
  </si>
  <si>
    <t xml:space="preserve">адміністративно-управлінський персонал</t>
  </si>
  <si>
    <t xml:space="preserve">8004</t>
  </si>
  <si>
    <t xml:space="preserve">працівники</t>
  </si>
  <si>
    <t xml:space="preserve">8005</t>
  </si>
  <si>
    <t xml:space="preserve">8010</t>
  </si>
  <si>
    <t xml:space="preserve">Середньомісячні витрати на оплату праці одного працівника (гривень), усього, у тому числі:</t>
  </si>
  <si>
    <t xml:space="preserve">8020</t>
  </si>
  <si>
    <t xml:space="preserve">член наглядової ради</t>
  </si>
  <si>
    <t xml:space="preserve">8021</t>
  </si>
  <si>
    <t xml:space="preserve">член правління</t>
  </si>
  <si>
    <t xml:space="preserve">8022</t>
  </si>
  <si>
    <t xml:space="preserve">8023</t>
  </si>
  <si>
    <t xml:space="preserve">адміністративно-управлінський працівник</t>
  </si>
  <si>
    <t xml:space="preserve">8024</t>
  </si>
  <si>
    <t xml:space="preserve">працівник</t>
  </si>
  <si>
    <t xml:space="preserve">8025</t>
  </si>
  <si>
    <t xml:space="preserve">Головний спеціаліст відділу інвестиційної політики, розвитку соціальної сфери та енергоменеджменту управління економічних питань</t>
  </si>
  <si>
    <t xml:space="preserve">_____________________________</t>
  </si>
  <si>
    <t xml:space="preserve">М.О. Потькало
</t>
  </si>
  <si>
    <t xml:space="preserve">(підпис)</t>
  </si>
  <si>
    <t xml:space="preserve">Факт наростаючим підсумком
з початку року</t>
  </si>
  <si>
    <t xml:space="preserve">пояснення та обґрунтування відхилення від запланованого рівня доходів/витрат                               </t>
  </si>
  <si>
    <t xml:space="preserve">Доходи і витрати (деталізація)</t>
  </si>
  <si>
    <t xml:space="preserve">Витрати на сировину та основні матеріали</t>
  </si>
  <si>
    <t xml:space="preserve">Витрати на паливо </t>
  </si>
  <si>
    <t xml:space="preserve">Витрати на електроенергію</t>
  </si>
  <si>
    <t xml:space="preserve">Витрати, що здійснюються для підтримання об’єкта в робочому стані (проведення ремонту, технічного огляду, нагляду, обслуговування тощо)</t>
  </si>
  <si>
    <t xml:space="preserve">Амортизація основних засобів і нематеріальних активів</t>
  </si>
  <si>
    <t xml:space="preserve">Інші витрати (розшифрувати)</t>
  </si>
  <si>
    <t xml:space="preserve">Валовий прибуток (збиток)</t>
  </si>
  <si>
    <t xml:space="preserve">(    )</t>
  </si>
  <si>
    <t xml:space="preserve">витрати на службові відрядження</t>
  </si>
  <si>
    <t xml:space="preserve">витрати на зв’язок</t>
  </si>
  <si>
    <t xml:space="preserve">витрати на оплату праці</t>
  </si>
  <si>
    <t xml:space="preserve">відрахування на соціальні заходи</t>
  </si>
  <si>
    <t xml:space="preserve">амортизація основних засобів і нематеріальних активів загальногосподарського призначення</t>
  </si>
  <si>
    <t xml:space="preserve">витрати на операційну оренду основних засобів та роялті, що мають загальногосподарське призначення</t>
  </si>
  <si>
    <t xml:space="preserve">витрати на страхування майна загальногосподарського призначення</t>
  </si>
  <si>
    <t xml:space="preserve">витрати на страхування загальногосподарського персоналу</t>
  </si>
  <si>
    <t xml:space="preserve">організаційно-технічні послуги </t>
  </si>
  <si>
    <t xml:space="preserve">консультаційні та інформаційні послуги</t>
  </si>
  <si>
    <t xml:space="preserve">юридичні послуги</t>
  </si>
  <si>
    <t xml:space="preserve">послуги з оцінки майна</t>
  </si>
  <si>
    <t xml:space="preserve"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</si>
  <si>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</si>
  <si>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 xml:space="preserve">витрати на утримання основних фондів, інших необоротних активів загальногосподарського використання,  у тому числі:</t>
  </si>
  <si>
    <t xml:space="preserve">витрати на поліпшення основних фондів</t>
  </si>
  <si>
    <t xml:space="preserve">1050/1</t>
  </si>
  <si>
    <t xml:space="preserve">інші адміністративні витрати (розшифрувати)</t>
  </si>
  <si>
    <t xml:space="preserve">Витрати на збут, у тому числі:</t>
  </si>
  <si>
    <t xml:space="preserve">транспортні витрати</t>
  </si>
  <si>
    <t xml:space="preserve">витрати на зберігання та упаковку</t>
  </si>
  <si>
    <t xml:space="preserve">амортизація основних засобів і нематеріальних активів</t>
  </si>
  <si>
    <t xml:space="preserve">витрати на рекламу</t>
  </si>
  <si>
    <t xml:space="preserve">інші витрати на збут (розшифрувати)</t>
  </si>
  <si>
    <t xml:space="preserve">Інші операційні доходи, усього, у тому числі:</t>
  </si>
  <si>
    <t xml:space="preserve">нетипові операційні доходи (розшифрувати)</t>
  </si>
  <si>
    <t xml:space="preserve">інші операційні доходи (розшифрувати)</t>
  </si>
  <si>
    <t xml:space="preserve">Інші операційні витрати, усього, у тому числі:</t>
  </si>
  <si>
    <t xml:space="preserve">нетипові операційні витрати (розшифрувати)</t>
  </si>
  <si>
    <t xml:space="preserve">витрати на благодійну допомогу</t>
  </si>
  <si>
    <t xml:space="preserve">відрахування до резерву сумнівних боргів</t>
  </si>
  <si>
    <t xml:space="preserve">відрахування до недержавних пенсійних фондів</t>
  </si>
  <si>
    <t xml:space="preserve">інші операційні витрати (розшифрувати)</t>
  </si>
  <si>
    <t xml:space="preserve">Дохід від участі в капіталі (розшифрувати)</t>
  </si>
  <si>
    <t xml:space="preserve">Втрати від участі в капіталі (розшифрувати)</t>
  </si>
  <si>
    <t xml:space="preserve">Інші фінансові доходи (розшифрувати)</t>
  </si>
  <si>
    <t xml:space="preserve">Фінансові витрати (розшифрувати)</t>
  </si>
  <si>
    <t xml:space="preserve">інші доходи (розшифрувати)</t>
  </si>
  <si>
    <t xml:space="preserve">інші витрати (розшифрувати)</t>
  </si>
  <si>
    <t xml:space="preserve">Чистий фінансовий результат, у тому числі:</t>
  </si>
  <si>
    <t xml:space="preserve">прибуток </t>
  </si>
  <si>
    <t xml:space="preserve">збиток</t>
  </si>
  <si>
    <t xml:space="preserve">Розрахунок показника EBITDA</t>
  </si>
  <si>
    <t xml:space="preserve">Фінансовий результат від операційної діяльності, рядок 1100</t>
  </si>
  <si>
    <t xml:space="preserve">плюс амортизація, рядок 1430</t>
  </si>
  <si>
    <t xml:space="preserve">мінус операційні доходи від курсових різниць, рядок 1071</t>
  </si>
  <si>
    <t xml:space="preserve">плюс операційні витрати від курсових різниць, рядок 1081</t>
  </si>
  <si>
    <t xml:space="preserve">мінус значні нетипові операційні доходи, рядок 1072</t>
  </si>
  <si>
    <t xml:space="preserve">плюс значні нетипові операційні витрати, рядок 1082</t>
  </si>
  <si>
    <t xml:space="preserve">М.О. Потькало</t>
  </si>
  <si>
    <t xml:space="preserve">                   (підпис)</t>
  </si>
  <si>
    <t xml:space="preserve">у тому числі за основними видами діяльності за КВЕД</t>
  </si>
  <si>
    <t xml:space="preserve">Інші фонди (розшифрувати)</t>
  </si>
  <si>
    <t xml:space="preserve">Інші цілі (розшифрувати)</t>
  </si>
  <si>
    <t xml:space="preserve">податок на доходи фізичних осіб</t>
  </si>
  <si>
    <t xml:space="preserve">інші податки та збори (розшифрувати)</t>
  </si>
  <si>
    <t xml:space="preserve">Сплата податків та зборів до місцевих бюджетів (податкові платежі), усього, у тому числі:</t>
  </si>
  <si>
    <t xml:space="preserve">земельний податок</t>
  </si>
  <si>
    <t xml:space="preserve">орендна плата</t>
  </si>
  <si>
    <t xml:space="preserve">Інші податки, збори та платежі на користь держави, усього, у тому числі:</t>
  </si>
  <si>
    <t xml:space="preserve">митні платежі</t>
  </si>
  <si>
    <t xml:space="preserve">єдиний внесок на загальнообов'язкове державне соціальне страхування                      </t>
  </si>
  <si>
    <t xml:space="preserve">інші податки, збори та платежі (розшифрувати)</t>
  </si>
  <si>
    <t xml:space="preserve">Погашення податкового боргу, усього, у тому числі:</t>
  </si>
  <si>
    <t xml:space="preserve">погашення реструктуризованих та відстрочених сум, що підлягають сплаті в поточному році до бюджетів та державних цільових фондів</t>
  </si>
  <si>
    <t xml:space="preserve">інші (штрафи, пені, неустойки) (розшифрувати)</t>
  </si>
  <si>
    <t xml:space="preserve">__________________________</t>
  </si>
  <si>
    <t xml:space="preserve">                  (підпис)</t>
  </si>
  <si>
    <t xml:space="preserve">ІІІ. Рух грошових коштів (за прямим методом)</t>
  </si>
  <si>
    <t xml:space="preserve">Код рядка</t>
  </si>
  <si>
    <t xml:space="preserve">Факт наростаючим підсумком 
з початку року</t>
  </si>
  <si>
    <t xml:space="preserve">І. Рух коштів у результаті операційної діяльності</t>
  </si>
  <si>
    <t xml:space="preserve">Надходження грошових коштів від операційної діяльності</t>
  </si>
  <si>
    <t xml:space="preserve">Виручка від реалізації продукції (товарів, робіт, послуг)</t>
  </si>
  <si>
    <t xml:space="preserve">Повернення податків і зборів, у тому числі:</t>
  </si>
  <si>
    <t xml:space="preserve">податку на додану вартість</t>
  </si>
  <si>
    <t xml:space="preserve">Цільове фінансування (розшифрувати)</t>
  </si>
  <si>
    <t xml:space="preserve">Надходження авансів від покупців і замовників</t>
  </si>
  <si>
    <t xml:space="preserve">Отримання коштів за короткостроковими зобов'язаннями, у тому числі:</t>
  </si>
  <si>
    <t xml:space="preserve">кредити</t>
  </si>
  <si>
    <t xml:space="preserve">позики </t>
  </si>
  <si>
    <t xml:space="preserve">облігації</t>
  </si>
  <si>
    <t xml:space="preserve">Інші надходження (розшифрувати) </t>
  </si>
  <si>
    <t xml:space="preserve"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</si>
  <si>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</si>
  <si>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</si>
  <si>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 xml:space="preserve">Повернення коштів за короткостроковими зобов'язаннями, у тому числі:</t>
  </si>
  <si>
    <t xml:space="preserve">Зобов’язання з податків, зборів та інших обов’язкових платежів, у тому числі:</t>
  </si>
  <si>
    <t xml:space="preserve">податок на додану вартість</t>
  </si>
  <si>
    <t xml:space="preserve">рентна плата</t>
  </si>
  <si>
    <t xml:space="preserve">інші зобов’язання з податків і зборів (розшифрувати)</t>
  </si>
  <si>
    <t xml:space="preserve">3156/1</t>
  </si>
  <si>
    <t xml:space="preserve">3156/2</t>
  </si>
  <si>
    <t xml:space="preserve">Інші платежі (розшифрувати)</t>
  </si>
  <si>
    <t xml:space="preserve">Повернення коштів до бюджету</t>
  </si>
  <si>
    <t xml:space="preserve">Інші витрачання (розшифрувати)</t>
  </si>
  <si>
    <t xml:space="preserve">II. Рух коштів у результаті інвестиційної діяльності</t>
  </si>
  <si>
    <t xml:space="preserve">Надходження грошових коштів від інвестиційної діяльності</t>
  </si>
  <si>
    <t xml:space="preserve"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</si>
  <si>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</si>
  <si>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</si>
  <si>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 xml:space="preserve">Надходження від отриманих відсотків</t>
  </si>
  <si>
    <t xml:space="preserve">Надходження дивідендів</t>
  </si>
  <si>
    <t xml:space="preserve">Надходження від деривативів</t>
  </si>
  <si>
    <t xml:space="preserve">Витрачання грошових коштів від інвестиційної діяльності</t>
  </si>
  <si>
    <t xml:space="preserve"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</si>
  <si>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</si>
  <si>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</si>
  <si>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</si>
  <si>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3270/1</t>
  </si>
  <si>
    <t xml:space="preserve">капітальне будівництво (розшифрувати) </t>
  </si>
  <si>
    <t xml:space="preserve">3270/2</t>
  </si>
  <si>
    <t xml:space="preserve">придбання (створення) нематеріальних активів (розшифрувати) </t>
  </si>
  <si>
    <t xml:space="preserve">3270/3</t>
  </si>
  <si>
    <t xml:space="preserve">Виплати за деривативами</t>
  </si>
  <si>
    <t xml:space="preserve">III. Рух коштів у результаті фінансової діяльності</t>
  </si>
  <si>
    <t xml:space="preserve">Надходження грошових коштів від фінансової діяльності </t>
  </si>
  <si>
    <t xml:space="preserve">Надходження від власного капіталу</t>
  </si>
  <si>
    <t xml:space="preserve">Отримання коштів за довгостроковими зобов'язаннями, у тому числі:</t>
  </si>
  <si>
    <t xml:space="preserve">Витрачання грошових коштів від фінансової діяльності</t>
  </si>
  <si>
    <t xml:space="preserve">Витрачання на викуп власних акцій</t>
  </si>
  <si>
    <t xml:space="preserve">Повернення коштів за довгостроковими зобов'язаннями, у тому числі:</t>
  </si>
  <si>
    <t xml:space="preserve">Сплата дивідендів</t>
  </si>
  <si>
    <t xml:space="preserve">Витрачення на сплату відсотків</t>
  </si>
  <si>
    <t xml:space="preserve">Витрачення на сплату заборгованості з фінансової оренди</t>
  </si>
  <si>
    <t xml:space="preserve">Чистий рух коштів від фінансової діяльності </t>
  </si>
  <si>
    <t xml:space="preserve">Чистий рух грошових коштів за звітний період</t>
  </si>
  <si>
    <t xml:space="preserve">IV. Капітальні інвестиції </t>
  </si>
  <si>
    <t xml:space="preserve">Капітальні інвестиції, усього,
у тому числі:</t>
  </si>
  <si>
    <t xml:space="preserve">Головний спеціаліст відділу інвестиційної політики, розвитку соціальної політики та енергоменеджменту управління економічних питань</t>
  </si>
  <si>
    <t xml:space="preserve">Оптимальне значення</t>
  </si>
  <si>
    <t xml:space="preserve">Примітки</t>
  </si>
  <si>
    <t xml:space="preserve">Коефіцієнти рентабельності та прибутковості</t>
  </si>
  <si>
    <t xml:space="preserve">Валова рентабельність
(валовий прибуток, рядок 1020 / чистий дохід від реалізації продукції (товарів, робіт, послуг), рядок 1000) х 100, %</t>
  </si>
  <si>
    <t xml:space="preserve">Збільшення</t>
  </si>
  <si>
    <t xml:space="preserve">Рентабельність EBITDA
(EBITDA, рядок 1310 / чистий дохід від реалізації продукції (товарів, робіт, послуг), рядок 1000) х 100, %</t>
  </si>
  <si>
    <t xml:space="preserve">Рентабельність активів
(чистий фінансовий результат, рядок 1200 / вартість активів, рядок 6020) х 100, %</t>
  </si>
  <si>
    <t xml:space="preserve">Характеризує ефективність використання активів підприємства</t>
  </si>
  <si>
    <t xml:space="preserve">Рентабельність власного капіталу
(чистий фінансовий результат, рядок 1200 / власний капітал, рядок 6080) х 100, %</t>
  </si>
  <si>
    <t xml:space="preserve"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</si>
  <si>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 xml:space="preserve">Характеризує ефективність господарської діяльності підприємства</t>
  </si>
  <si>
    <t xml:space="preserve">Коефіцієнти фінансової стійкості та ліквідності</t>
  </si>
  <si>
    <t xml:space="preserve">Коефіцієнт відношення боргу до EBITDA
(довгострокові зобов'язання, рядок 6030 + поточні зобов'язання, рядок 6040) / EBITDA, рядок 1310</t>
  </si>
  <si>
    <t xml:space="preserve">Коефіцієнт фінансової стійкості
(власний капітал, рядок 6080 / (довгострокові зобов'язання, рядок 6030 + поточні зобов'язання, рядок 6040))</t>
  </si>
  <si>
    <t xml:space="preserve">&gt; 1</t>
  </si>
  <si>
    <t xml:space="preserve">Характеризує співвідношення власних та позикових коштів і залежність підприємства від зовнішніх фінансових джерел</t>
  </si>
  <si>
    <t xml:space="preserve">Коефіцієнт поточної ліквідності (покриття)
(оборотні активи, рядок 6010 / поточні зобов'язання, рядок 6040)</t>
  </si>
  <si>
    <t xml:space="preserve"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</si>
  <si>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Аналіз капітальних інвестицій</t>
  </si>
  <si>
    <t xml:space="preserve">Коефіцієнт відношення капітальних інвестицій до амортизації
(капітальні інвестиції, рядок 4000 / амортизація, рядок 1430)</t>
  </si>
  <si>
    <t xml:space="preserve"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</si>
  <si>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 xml:space="preserve">Коефіцієнт зносу основних засобів 
(сума зносу, рядок 6003 / первісна вартість основних засобів, рядок 6002)</t>
  </si>
  <si>
    <t xml:space="preserve">Зменшення</t>
  </si>
  <si>
    <t xml:space="preserve">Характеризує інвестиційну політику підприємства</t>
  </si>
  <si>
    <t xml:space="preserve">Ковенанти/обмежувальні коефіцієнти</t>
  </si>
  <si>
    <t xml:space="preserve"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</si>
  <si>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t xml:space="preserve">Інформація</t>
  </si>
  <si>
    <t xml:space="preserve">до звіту про виконання фінансового плану за ІІІ квартал 2019 року</t>
  </si>
  <si>
    <t xml:space="preserve">__________________________________________________________________________________________________________________</t>
  </si>
  <si>
    <t xml:space="preserve">(найменування підприємства)</t>
  </si>
  <si>
    <t xml:space="preserve">      1. Дані про підприємство, персонал та витрати на оплату праці*</t>
  </si>
  <si>
    <t xml:space="preserve">      Загальна інформація про підприємство (резюме)</t>
  </si>
  <si>
    <t xml:space="preserve">Факт
відповідного періоду минулого року</t>
  </si>
  <si>
    <t xml:space="preserve">План
звітного періоду</t>
  </si>
  <si>
    <t xml:space="preserve">Факт
звітного періоду</t>
  </si>
  <si>
    <r>
      <rPr>
        <sz val="14"/>
        <rFont val="Times New Roman"/>
        <family val="1"/>
        <charset val="204"/>
      </rPr>
      <t xml:space="preserve">Відхилення,  +/–
</t>
    </r>
    <r>
      <rPr>
        <sz val="12"/>
        <rFont val="Times New Roman"/>
        <family val="1"/>
        <charset val="204"/>
      </rPr>
      <t xml:space="preserve">(факт звітного періоду /
план звітного періоду)</t>
    </r>
  </si>
  <si>
    <r>
      <rPr>
        <sz val="14"/>
        <rFont val="Times New Roman"/>
        <family val="1"/>
        <charset val="204"/>
      </rPr>
      <t xml:space="preserve">Виконання, %
</t>
    </r>
    <r>
      <rPr>
        <sz val="12"/>
        <rFont val="Times New Roman"/>
        <family val="1"/>
        <charset val="204"/>
      </rPr>
      <t xml:space="preserve">(факт звітного періоду /
план звітного періоду)</t>
    </r>
  </si>
  <si>
    <r>
      <rPr>
        <b val="true"/>
        <sz val="14"/>
        <rFont val="Times New Roman"/>
        <family val="1"/>
        <charset val="204"/>
      </rPr>
      <t xml:space="preserve">Середня кількість працівників </t>
    </r>
    <r>
      <rPr>
        <sz val="14"/>
        <rFont val="Times New Roman"/>
        <family val="1"/>
        <charset val="204"/>
      </rPr>
      <t xml:space="preserve">(штатних
працівників, зовнішніх сумісників та працівників,
які  працюють за цивільно-правовими договорами)</t>
    </r>
    <r>
      <rPr>
        <b val="true"/>
        <sz val="14"/>
        <rFont val="Times New Roman"/>
        <family val="1"/>
        <charset val="204"/>
      </rPr>
      <t xml:space="preserve">,
у тому числі:</t>
    </r>
  </si>
  <si>
    <t xml:space="preserve">Фонд оплати праці, тис. грн,
у тому числі:</t>
  </si>
  <si>
    <t xml:space="preserve">Витрати на оплату праці,
тис. грн, у тому числі:</t>
  </si>
  <si>
    <t xml:space="preserve">Середньомісячні витрати на оплату праці одного працівника, грн, усього, у тому числі:</t>
  </si>
  <si>
    <t xml:space="preserve">керівник, усього, у тому числі: </t>
  </si>
  <si>
    <t xml:space="preserve">посадовий оклад</t>
  </si>
  <si>
    <t xml:space="preserve">преміювання</t>
  </si>
  <si>
    <t xml:space="preserve">інші виплати, передбачені законодавством </t>
  </si>
  <si>
    <t xml:space="preserve">      * 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</si>
  <si>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</si>
  <si>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 xml:space="preserve">Код за ЄДРПОУ</t>
  </si>
  <si>
    <t xml:space="preserve">Найменування підприємства</t>
  </si>
  <si>
    <t xml:space="preserve">Вид діяльності</t>
  </si>
  <si>
    <t xml:space="preserve">      3. Інформація про бізнес підприємства (код рядка 1000 фінансового плану)</t>
  </si>
  <si>
    <t xml:space="preserve">Найменування видів діяльності за КВЕД</t>
  </si>
  <si>
    <t xml:space="preserve">План</t>
  </si>
  <si>
    <t xml:space="preserve">Факт</t>
  </si>
  <si>
    <t xml:space="preserve">Відхилення,  +/–</t>
  </si>
  <si>
    <t xml:space="preserve">Виконання, %</t>
  </si>
  <si>
    <t xml:space="preserve">чистий дохід  від реалізації продукції (товарів, робіт, послуг),     тис. грн</t>
  </si>
  <si>
    <t xml:space="preserve">кількість продукції/             наданих послуг, одиниця виміру</t>
  </si>
  <si>
    <t xml:space="preserve"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</si>
  <si>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</si>
  <si>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</si>
  <si>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 xml:space="preserve">зміна ціни одиниці  (вартості продукції/     наданих послуг)</t>
  </si>
  <si>
    <t xml:space="preserve">      4. Діючі фінансові зобов'язання підприємства</t>
  </si>
  <si>
    <t xml:space="preserve"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</si>
  <si>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</si>
  <si>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</si>
  <si>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 xml:space="preserve">Процентна ставка</t>
  </si>
  <si>
    <t xml:space="preserve">Дата видачі / погашення (графік)</t>
  </si>
  <si>
    <t xml:space="preserve">Заборгованість на останню дату</t>
  </si>
  <si>
    <t xml:space="preserve">Забезпечення</t>
  </si>
  <si>
    <t xml:space="preserve">          </t>
  </si>
  <si>
    <t xml:space="preserve">х</t>
  </si>
  <si>
    <t xml:space="preserve">      5. Інформація щодо отримання та повернення залучених коштів</t>
  </si>
  <si>
    <t xml:space="preserve">Зобов'язання</t>
  </si>
  <si>
    <t xml:space="preserve">Заборгованість за кредитами на початок звітного періоду</t>
  </si>
  <si>
    <t xml:space="preserve">Отримано залучених коштів за звітний період</t>
  </si>
  <si>
    <t xml:space="preserve">Повернено залучених коштів за звітний період</t>
  </si>
  <si>
    <t xml:space="preserve">Заборгованість на кінець звітного періоду</t>
  </si>
  <si>
    <t xml:space="preserve">план</t>
  </si>
  <si>
    <t xml:space="preserve">Довгострокові зобов'язання, усього </t>
  </si>
  <si>
    <t xml:space="preserve">у тому числі:</t>
  </si>
  <si>
    <t xml:space="preserve">Короткострокові зобов'язання, усього</t>
  </si>
  <si>
    <r>
      <rPr>
        <sz val="14"/>
        <rFont val="Times New Roman"/>
        <family val="1"/>
        <charset val="204"/>
      </rPr>
      <t xml:space="preserve">у тому числі:</t>
    </r>
    <r>
      <rPr>
        <i val="true"/>
        <sz val="14"/>
        <rFont val="Times New Roman"/>
        <family val="1"/>
        <charset val="204"/>
      </rPr>
      <t xml:space="preserve"> </t>
    </r>
  </si>
  <si>
    <t xml:space="preserve">Інші фінансові зобов'язання, усього</t>
  </si>
  <si>
    <t xml:space="preserve">6. Витрати, пов'язані з використанням власних службових автомобілів (у складі адміністративних витрат, рядок 1031)</t>
  </si>
  <si>
    <t xml:space="preserve">№ з/п</t>
  </si>
  <si>
    <t xml:space="preserve">Марка</t>
  </si>
  <si>
    <t xml:space="preserve">Рік придбання</t>
  </si>
  <si>
    <t xml:space="preserve">Мета використання</t>
  </si>
  <si>
    <t xml:space="preserve">Витрати, усього</t>
  </si>
  <si>
    <t xml:space="preserve">Відхилення,  +/–
(факт звітного періоду /
план звітного періоду)</t>
  </si>
  <si>
    <t xml:space="preserve">Виконання, %
(факт звітного періоду /
план звітного періоду)</t>
  </si>
  <si>
    <t xml:space="preserve">факт
відповідного періоду
минулого року</t>
  </si>
  <si>
    <t xml:space="preserve">план
звітного періоду</t>
  </si>
  <si>
    <t xml:space="preserve">факт
звітного періоду</t>
  </si>
  <si>
    <t xml:space="preserve">7. Витрати на оренду службових автомобілів (у складі адміністративних витрат, рядок 1032)</t>
  </si>
  <si>
    <t xml:space="preserve">Договір</t>
  </si>
  <si>
    <t xml:space="preserve">Дата
початку
оренди</t>
  </si>
  <si>
    <t xml:space="preserve">8. Джерела капітальних інвестицій</t>
  </si>
  <si>
    <t xml:space="preserve">тис. грн (без ПДВ)</t>
  </si>
  <si>
    <t xml:space="preserve">Найменування об’єкта</t>
  </si>
  <si>
    <t xml:space="preserve">Залучення кредитних коштів</t>
  </si>
  <si>
    <t xml:space="preserve">Бюджетне фінансування</t>
  </si>
  <si>
    <t xml:space="preserve">Власні кошти (розшифрувати)</t>
  </si>
  <si>
    <t xml:space="preserve">Інші джерела (розшифрувати)</t>
  </si>
  <si>
    <t xml:space="preserve">Відсоток</t>
  </si>
  <si>
    <t xml:space="preserve">9. Капітальне будівництво (рядок 4010 таблиці 4)</t>
  </si>
  <si>
    <t xml:space="preserve">Найменування об’єкта </t>
  </si>
  <si>
    <t xml:space="preserve">Рік початку        і закінчення будівництва</t>
  </si>
  <si>
    <t xml:space="preserve">Загальна кошторисна вартість</t>
  </si>
  <si>
    <t xml:space="preserve">Первісна балансова вартість введених потужностей на початок звітного періоду</t>
  </si>
  <si>
    <t xml:space="preserve">Незавершене будівництво на початок звітного періоду</t>
  </si>
  <si>
    <t xml:space="preserve">Інформація щодо проектно-кошторисної документації (стан розроблення, затвердження, у разі затвердження зазначити  суб'єкт управління, яким затверджено, та відповідний документ)</t>
  </si>
  <si>
    <t xml:space="preserve">Документ, яким затверджений титул будови,
із зазначенням суб'єкта управління, який його погодив</t>
  </si>
  <si>
    <t xml:space="preserve">освоєння капітальних вкладень</t>
  </si>
  <si>
    <t xml:space="preserve">фінансування капітальних інвестицій (оплата грошовими коштами), усього</t>
  </si>
  <si>
    <t xml:space="preserve">у тому числі </t>
  </si>
  <si>
    <t xml:space="preserve">кредитні кошти</t>
  </si>
  <si>
    <t xml:space="preserve">інші джерела (зазначити джерело)</t>
  </si>
  <si>
    <t xml:space="preserve">__________________________________________________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</si>
</sst>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#,##0.0"/>
    <numFmt numFmtId="180" formatCode="_(* #,##0.0_);_(* \(#,##0.0\);_(* \-_);_(@_)"/>
    <numFmt numFmtId="181" formatCode="0.0"/>
    <numFmt numFmtId="182" formatCode="_(* #,##0_);_(* \(#,##0\);_(* \-??_);_(@_)"/>
    <numFmt numFmtId="183" formatCode="_(* #,##0.0_);_(* \(#,##0.0\);_(* \-??_);_(@_)"/>
    <numFmt numFmtId="184" formatCode="#,##0"/>
    <numFmt numFmtId="185" formatCode="0"/>
    <numFmt numFmtId="186" formatCode="0.00"/>
  </numFmts>
  <fonts count="81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 Cyr"/>
      <family val="2"/>
      <charset val="204"/>
    </font>
    <font>
      <sz val="11"/>
      <color rgb="FFFFFFFF"/>
      <name val="Calibri"/>
      <family val="2"/>
      <charset val="204"/>
    </font>
    <font>
      <sz val="11"/>
      <color rgb="FFFFFFFF"/>
      <name val="Arial Cyr"/>
      <family val="2"/>
      <charset val="204"/>
    </font>
    <font>
      <sz val="10"/>
      <name val="Arial"/>
      <family val="2"/>
      <charset val="204"/>
    </font>
    <font>
      <b val="true"/>
      <sz val="10"/>
      <color rgb="FF000000"/>
      <name val="Arial Cyr"/>
      <family val="2"/>
      <charset val="204"/>
    </font>
    <font>
      <sz val="10"/>
      <color rgb="FFFFFFFF"/>
      <name val="Arial Cyr"/>
      <family val="2"/>
      <charset val="204"/>
    </font>
    <font>
      <sz val="10"/>
      <color rgb="FFCC0000"/>
      <name val="Arial Cyr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2"/>
      <name val="Arial"/>
      <family val="2"/>
      <charset val="204"/>
    </font>
    <font>
      <b val="true"/>
      <sz val="10"/>
      <color rgb="FFFFFFFF"/>
      <name val="Arial Cyr"/>
      <family val="2"/>
      <charset val="204"/>
    </font>
    <font>
      <i val="true"/>
      <sz val="11"/>
      <color rgb="FF808080"/>
      <name val="Calibri"/>
      <family val="2"/>
      <charset val="204"/>
    </font>
    <font>
      <i val="true"/>
      <sz val="10"/>
      <color rgb="FF808080"/>
      <name val="Arial Cyr"/>
      <family val="2"/>
      <charset val="204"/>
    </font>
    <font>
      <sz val="10"/>
      <name val="FreeSet"/>
      <family val="2"/>
      <charset val="204"/>
    </font>
    <font>
      <sz val="10"/>
      <color rgb="FF006600"/>
      <name val="Arial Cyr"/>
      <family val="2"/>
      <charset val="204"/>
    </font>
    <font>
      <b val="true"/>
      <sz val="24"/>
      <color rgb="FF000000"/>
      <name val="Arial Cyr"/>
      <family val="2"/>
      <charset val="204"/>
    </font>
    <font>
      <sz val="18"/>
      <color rgb="FF000000"/>
      <name val="Arial Cyr"/>
      <family val="2"/>
      <charset val="204"/>
    </font>
    <font>
      <sz val="12"/>
      <color rgb="FF000000"/>
      <name val="Arial Cyr"/>
      <family val="2"/>
      <charset val="204"/>
    </font>
    <font>
      <b val="true"/>
      <sz val="11"/>
      <color rgb="FF003366"/>
      <name val="Calibri"/>
      <family val="2"/>
      <charset val="204"/>
    </font>
    <font>
      <u val="single"/>
      <sz val="10"/>
      <color rgb="FF0000FF"/>
      <name val="Arial"/>
      <family val="2"/>
      <charset val="204"/>
    </font>
    <font>
      <sz val="11"/>
      <color rgb="FF333399"/>
      <name val="Calibri"/>
      <family val="2"/>
      <charset val="204"/>
    </font>
    <font>
      <b val="true"/>
      <sz val="14"/>
      <name val="Arial"/>
      <family val="2"/>
      <charset val="204"/>
    </font>
    <font>
      <b val="true"/>
      <sz val="12"/>
      <color rgb="FFFFFFFF"/>
      <name val="Arial"/>
      <family val="2"/>
      <charset val="204"/>
    </font>
    <font>
      <b val="true"/>
      <i val="true"/>
      <sz val="14"/>
      <name val="Arial"/>
      <family val="2"/>
      <charset val="204"/>
    </font>
    <font>
      <b val="true"/>
      <i val="true"/>
      <sz val="14"/>
      <color rgb="FFFFFFFF"/>
      <name val="Arial"/>
      <family val="2"/>
      <charset val="204"/>
    </font>
    <font>
      <b val="true"/>
      <i val="true"/>
      <sz val="12"/>
      <color rgb="FFFFFFFF"/>
      <name val="Arial"/>
      <family val="2"/>
      <charset val="204"/>
    </font>
    <font>
      <b val="true"/>
      <sz val="11"/>
      <name val="Arial"/>
      <family val="2"/>
      <charset val="204"/>
    </font>
    <font>
      <b val="true"/>
      <sz val="11"/>
      <color rgb="FFFFFFFF"/>
      <name val="Arial"/>
      <family val="2"/>
      <charset val="204"/>
    </font>
    <font>
      <sz val="12"/>
      <color rgb="FFFFFFFF"/>
      <name val="Bookman Old Style"/>
      <family val="1"/>
      <charset val="204"/>
    </font>
    <font>
      <sz val="11"/>
      <name val="Arial"/>
      <family val="2"/>
      <charset val="204"/>
    </font>
    <font>
      <sz val="11"/>
      <color rgb="FFFFFFFF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color rgb="FFFFFFFF"/>
      <name val="Arial"/>
      <family val="2"/>
      <charset val="204"/>
    </font>
    <font>
      <sz val="11"/>
      <color rgb="FFFF9900"/>
      <name val="Calibri"/>
      <family val="2"/>
      <charset val="204"/>
    </font>
    <font>
      <sz val="10"/>
      <color rgb="FF996600"/>
      <name val="Arial Cyr"/>
      <family val="2"/>
      <charset val="204"/>
    </font>
    <font>
      <sz val="10"/>
      <color rgb="FF333333"/>
      <name val="Arial Cyr"/>
      <family val="2"/>
      <charset val="204"/>
    </font>
    <font>
      <b val="true"/>
      <sz val="10"/>
      <name val="Arial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333399"/>
      <name val="Arial Cyr"/>
      <family val="2"/>
      <charset val="204"/>
    </font>
    <font>
      <b val="true"/>
      <sz val="11"/>
      <color rgb="FF333333"/>
      <name val="Arial Cyr"/>
      <family val="2"/>
      <charset val="204"/>
    </font>
    <font>
      <b val="true"/>
      <sz val="11"/>
      <color rgb="FFFF9900"/>
      <name val="Arial Cyr"/>
      <family val="2"/>
      <charset val="204"/>
    </font>
    <font>
      <b val="true"/>
      <sz val="15"/>
      <color rgb="FF003366"/>
      <name val="Arial Cyr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Arial Cyr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Arial Cyr"/>
      <family val="2"/>
      <charset val="204"/>
    </font>
    <font>
      <b val="true"/>
      <sz val="11"/>
      <color rgb="FF000000"/>
      <name val="Arial Cyr"/>
      <family val="2"/>
      <charset val="204"/>
    </font>
    <font>
      <b val="true"/>
      <sz val="11"/>
      <color rgb="FFFFFFFF"/>
      <name val="Arial Cyr"/>
      <family val="2"/>
      <charset val="204"/>
    </font>
    <font>
      <sz val="11"/>
      <color rgb="FF993300"/>
      <name val="Arial Cyr"/>
      <family val="2"/>
      <charset val="204"/>
    </font>
    <font>
      <sz val="11"/>
      <color rgb="FF993300"/>
      <name val="Calibri"/>
      <family val="2"/>
      <charset val="204"/>
    </font>
    <font>
      <sz val="8"/>
      <name val="Arial"/>
      <family val="2"/>
      <charset val="204"/>
    </font>
    <font>
      <sz val="11"/>
      <color rgb="FF800080"/>
      <name val="Arial Cyr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Arial Cyr"/>
      <family val="2"/>
      <charset val="204"/>
    </font>
    <font>
      <sz val="11"/>
      <color rgb="FFFF9900"/>
      <name val="Arial Cyr"/>
      <family val="2"/>
      <charset val="204"/>
    </font>
    <font>
      <sz val="11"/>
      <color rgb="FFFF0000"/>
      <name val="Arial Cyr"/>
      <family val="2"/>
      <charset val="204"/>
    </font>
    <font>
      <sz val="11"/>
      <color rgb="FF008000"/>
      <name val="Arial Cyr"/>
      <family val="2"/>
      <charset val="204"/>
    </font>
    <font>
      <sz val="11"/>
      <color rgb="FF008000"/>
      <name val="Calibri"/>
      <family val="2"/>
      <charset val="204"/>
    </font>
    <font>
      <sz val="10"/>
      <name val="Petersburg"/>
      <family val="0"/>
      <charset val="204"/>
    </font>
    <font>
      <sz val="10"/>
      <name val="Tahoma"/>
      <family val="2"/>
      <charset val="204"/>
    </font>
    <font>
      <sz val="14"/>
      <name val="Times New Roman"/>
      <family val="1"/>
      <charset val="204"/>
    </font>
    <font>
      <u val="single"/>
      <sz val="14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 val="true"/>
      <sz val="14"/>
      <name val="Times New Roman"/>
      <family val="1"/>
      <charset val="204"/>
    </font>
    <font>
      <sz val="14"/>
      <name val="Arial Cyr"/>
      <family val="2"/>
      <charset val="204"/>
    </font>
    <font>
      <sz val="10"/>
      <name val="Times New Roman"/>
      <family val="1"/>
      <charset val="204"/>
    </font>
    <font>
      <b val="true"/>
      <sz val="16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3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rgb="FFCCCCFF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21212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0000"/>
        <bgColor rgb="FFFF000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 style="thin">
        <color rgb="FF212121"/>
      </left>
      <right style="thin">
        <color rgb="FF212121"/>
      </right>
      <top style="double">
        <color rgb="FF212121"/>
      </top>
      <bottom style="thin">
        <color rgb="FF212121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/>
      <diagonal/>
    </border>
    <border diagonalUp="false" diagonalDown="false">
      <left style="thin">
        <color rgb="FF212121"/>
      </left>
      <right style="thin">
        <color rgb="FF212121"/>
      </right>
      <top style="medium">
        <color rgb="FF212121"/>
      </top>
      <bottom style="medium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 diagonalUp="false" diagonalDown="false">
      <left style="thin">
        <color rgb="FF212121"/>
      </left>
      <right/>
      <top style="thin">
        <color rgb="FF212121"/>
      </top>
      <bottom style="thin">
        <color rgb="FF212121"/>
      </bottom>
      <diagonal/>
    </border>
    <border diagonalUp="false" diagonalDown="false">
      <left/>
      <right/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medium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medium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/>
      <bottom style="medium">
        <color rgb="FF212121"/>
      </bottom>
      <diagonal/>
    </border>
    <border diagonalUp="false" diagonalDown="false">
      <left/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/>
      <right/>
      <top/>
      <bottom style="thin">
        <color rgb="FF212121"/>
      </bottom>
      <diagonal/>
    </border>
    <border diagonalUp="false" diagonalDown="false">
      <left/>
      <right/>
      <top style="thin">
        <color rgb="FF212121"/>
      </top>
      <bottom/>
      <diagonal/>
    </border>
  </borders>
  <cellStyleXfs count="38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5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5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5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5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5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5" fillId="11" borderId="0" applyFont="true" applyBorder="false" applyAlignment="false" applyProtection="false"/>
    <xf numFmtId="164" fontId="4" fillId="11" borderId="0" applyFont="true" applyBorder="false" applyAlignment="false" applyProtection="false"/>
    <xf numFmtId="164" fontId="6" fillId="12" borderId="0" applyFont="true" applyBorder="false" applyAlignment="false" applyProtection="false"/>
    <xf numFmtId="164" fontId="6" fillId="9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3" borderId="0" applyFont="true" applyBorder="false" applyAlignment="false" applyProtection="false"/>
    <xf numFmtId="164" fontId="6" fillId="14" borderId="0" applyFont="true" applyBorder="false" applyAlignment="false" applyProtection="false"/>
    <xf numFmtId="164" fontId="6" fillId="15" borderId="0" applyFont="true" applyBorder="false" applyAlignment="false" applyProtection="false"/>
    <xf numFmtId="164" fontId="7" fillId="12" borderId="0" applyFont="true" applyBorder="false" applyAlignment="false" applyProtection="false"/>
    <xf numFmtId="164" fontId="6" fillId="12" borderId="0" applyFont="true" applyBorder="false" applyAlignment="false" applyProtection="false"/>
    <xf numFmtId="164" fontId="7" fillId="9" borderId="0" applyFont="true" applyBorder="false" applyAlignment="false" applyProtection="false"/>
    <xf numFmtId="164" fontId="6" fillId="9" borderId="0" applyFont="true" applyBorder="false" applyAlignment="false" applyProtection="false"/>
    <xf numFmtId="164" fontId="7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7" fillId="13" borderId="0" applyFont="true" applyBorder="false" applyAlignment="false" applyProtection="false"/>
    <xf numFmtId="164" fontId="6" fillId="13" borderId="0" applyFont="true" applyBorder="false" applyAlignment="false" applyProtection="false"/>
    <xf numFmtId="164" fontId="7" fillId="14" borderId="0" applyFont="true" applyBorder="false" applyAlignment="false" applyProtection="false"/>
    <xf numFmtId="164" fontId="6" fillId="14" borderId="0" applyFont="true" applyBorder="false" applyAlignment="false" applyProtection="false"/>
    <xf numFmtId="164" fontId="7" fillId="15" borderId="0" applyFont="true" applyBorder="false" applyAlignment="false" applyProtection="false"/>
    <xf numFmtId="164" fontId="6" fillId="15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false" applyAlignment="false" applyProtection="false"/>
    <xf numFmtId="164" fontId="10" fillId="16" borderId="0" applyFont="true" applyBorder="false" applyAlignment="false" applyProtection="false"/>
    <xf numFmtId="164" fontId="10" fillId="17" borderId="0" applyFont="true" applyBorder="false" applyAlignment="false" applyProtection="false"/>
    <xf numFmtId="164" fontId="9" fillId="18" borderId="0" applyFont="true" applyBorder="false" applyAlignment="false" applyProtection="false"/>
    <xf numFmtId="164" fontId="6" fillId="19" borderId="0" applyFont="true" applyBorder="false" applyAlignment="false" applyProtection="false"/>
    <xf numFmtId="164" fontId="6" fillId="20" borderId="0" applyFont="true" applyBorder="false" applyAlignment="false" applyProtection="false"/>
    <xf numFmtId="164" fontId="6" fillId="21" borderId="0" applyFont="true" applyBorder="false" applyAlignment="false" applyProtection="false"/>
    <xf numFmtId="164" fontId="6" fillId="13" borderId="0" applyFont="true" applyBorder="false" applyAlignment="false" applyProtection="false"/>
    <xf numFmtId="164" fontId="6" fillId="14" borderId="0" applyFont="true" applyBorder="false" applyAlignment="false" applyProtection="false"/>
    <xf numFmtId="164" fontId="6" fillId="22" borderId="0" applyFont="true" applyBorder="false" applyAlignment="false" applyProtection="false"/>
    <xf numFmtId="164" fontId="11" fillId="23" borderId="0" applyFont="true" applyBorder="false" applyAlignment="false" applyProtection="false"/>
    <xf numFmtId="164" fontId="12" fillId="24" borderId="1" applyFont="true" applyBorder="true" applyAlignment="false" applyProtection="false"/>
    <xf numFmtId="164" fontId="13" fillId="25" borderId="2" applyFont="true" applyBorder="true" applyAlignment="false" applyProtection="false"/>
    <xf numFmtId="165" fontId="14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4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0" applyFont="true" applyBorder="false" applyAlignment="false" applyProtection="false"/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5" fillId="26" borderId="0" applyFont="true" applyBorder="false" applyAlignment="false" applyProtection="false"/>
    <xf numFmtId="164" fontId="16" fillId="0" borderId="0" applyFont="true" applyBorder="false" applyAlignment="false" applyProtection="false"/>
    <xf numFmtId="164" fontId="17" fillId="0" borderId="0" applyFont="true" applyBorder="false" applyAlignment="false" applyProtection="false"/>
    <xf numFmtId="167" fontId="18" fillId="0" borderId="0" applyFont="true" applyBorder="true" applyAlignment="false" applyProtection="true">
      <protection locked="true" hidden="false"/>
    </xf>
    <xf numFmtId="164" fontId="19" fillId="4" borderId="0" applyFont="true" applyBorder="false" applyAlignment="false" applyProtection="false"/>
    <xf numFmtId="164" fontId="20" fillId="0" borderId="0" applyFont="true" applyBorder="false" applyAlignment="false" applyProtection="false"/>
    <xf numFmtId="164" fontId="21" fillId="0" borderId="0" applyFont="true" applyBorder="false" applyAlignment="false" applyProtection="false"/>
    <xf numFmtId="164" fontId="22" fillId="0" borderId="0" applyFont="true" applyBorder="false" applyAlignment="false" applyProtection="false"/>
    <xf numFmtId="164" fontId="23" fillId="0" borderId="4" applyFont="true" applyBorder="true" applyAlignment="false" applyProtection="false"/>
    <xf numFmtId="164" fontId="23" fillId="0" borderId="0" applyFont="true" applyBorder="false" applyAlignment="false" applyProtection="false"/>
    <xf numFmtId="164" fontId="24" fillId="0" borderId="0" applyFont="true" applyBorder="false" applyAlignment="false" applyProtection="false"/>
    <xf numFmtId="164" fontId="25" fillId="7" borderId="1" applyFont="true" applyBorder="true" applyAlignment="false" applyProtection="false"/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true" hidden="false"/>
    </xf>
    <xf numFmtId="164" fontId="0" fillId="0" borderId="0" applyFont="true" applyBorder="true" applyAlignment="false" applyProtection="true">
      <protection locked="tru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tru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tru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5" fontId="26" fillId="27" borderId="5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6" fillId="27" borderId="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6" fillId="27" borderId="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6" fillId="27" borderId="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7" fillId="27" borderId="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28" fillId="27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8" fillId="27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9" fillId="27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9" fillId="27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8" fillId="27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8" fillId="27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30" fillId="27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4" fillId="27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4" fillId="27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4" fillId="27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7" fillId="27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7" fillId="27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4" fillId="27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4" fillId="27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4" fillId="27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7" fillId="27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4" fillId="27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4" fillId="27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1" fillId="27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1" fillId="27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2" fillId="27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2" fillId="27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31" fillId="27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31" fillId="27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33" fillId="27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34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4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5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5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34" fillId="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34" fillId="0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35" fillId="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36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6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7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7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36" fillId="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36" fillId="0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34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5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34" fillId="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38" fillId="0" borderId="6" applyFont="true" applyBorder="true" applyAlignment="false" applyProtection="false"/>
    <xf numFmtId="164" fontId="39" fillId="28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false" applyProtection="true">
      <protection locked="false" hidden="false"/>
    </xf>
    <xf numFmtId="164" fontId="40" fillId="28" borderId="1" applyFont="true" applyBorder="true" applyAlignment="false" applyProtection="false"/>
    <xf numFmtId="168" fontId="41" fillId="7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41" fillId="6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41" fillId="24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2" fillId="24" borderId="7" applyFont="true" applyBorder="true" applyAlignment="false" applyProtection="false"/>
    <xf numFmtId="165" fontId="14" fillId="0" borderId="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4" fillId="0" borderId="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43" fillId="0" borderId="0" applyFont="true" applyBorder="false" applyAlignment="false" applyProtection="false"/>
    <xf numFmtId="164" fontId="44" fillId="0" borderId="8" applyFont="true" applyBorder="true" applyAlignment="false" applyProtection="false"/>
    <xf numFmtId="164" fontId="11" fillId="0" borderId="0" applyFont="true" applyBorder="false" applyAlignment="false" applyProtection="false"/>
    <xf numFmtId="164" fontId="45" fillId="0" borderId="0" applyFont="true" applyBorder="false" applyAlignment="false" applyProtection="false"/>
    <xf numFmtId="164" fontId="7" fillId="19" borderId="0" applyFont="true" applyBorder="false" applyAlignment="false" applyProtection="false"/>
    <xf numFmtId="164" fontId="6" fillId="19" borderId="0" applyFont="true" applyBorder="false" applyAlignment="false" applyProtection="false"/>
    <xf numFmtId="164" fontId="7" fillId="20" borderId="0" applyFont="true" applyBorder="false" applyAlignment="false" applyProtection="false"/>
    <xf numFmtId="164" fontId="6" fillId="20" borderId="0" applyFont="true" applyBorder="false" applyAlignment="false" applyProtection="false"/>
    <xf numFmtId="164" fontId="7" fillId="21" borderId="0" applyFont="true" applyBorder="false" applyAlignment="false" applyProtection="false"/>
    <xf numFmtId="164" fontId="6" fillId="21" borderId="0" applyFont="true" applyBorder="false" applyAlignment="false" applyProtection="false"/>
    <xf numFmtId="164" fontId="7" fillId="13" borderId="0" applyFont="true" applyBorder="false" applyAlignment="false" applyProtection="false"/>
    <xf numFmtId="164" fontId="6" fillId="13" borderId="0" applyFont="true" applyBorder="false" applyAlignment="false" applyProtection="false"/>
    <xf numFmtId="164" fontId="7" fillId="14" borderId="0" applyFont="true" applyBorder="false" applyAlignment="false" applyProtection="false"/>
    <xf numFmtId="164" fontId="6" fillId="14" borderId="0" applyFont="true" applyBorder="false" applyAlignment="false" applyProtection="false"/>
    <xf numFmtId="164" fontId="7" fillId="22" borderId="0" applyFont="true" applyBorder="false" applyAlignment="false" applyProtection="false"/>
    <xf numFmtId="164" fontId="6" fillId="22" borderId="0" applyFont="true" applyBorder="false" applyAlignment="false" applyProtection="false"/>
    <xf numFmtId="164" fontId="46" fillId="7" borderId="1" applyFont="true" applyBorder="true" applyAlignment="false" applyProtection="false"/>
    <xf numFmtId="164" fontId="25" fillId="7" borderId="1" applyFont="true" applyBorder="true" applyAlignment="false" applyProtection="false"/>
    <xf numFmtId="164" fontId="47" fillId="24" borderId="7" applyFont="true" applyBorder="true" applyAlignment="false" applyProtection="false"/>
    <xf numFmtId="164" fontId="42" fillId="24" borderId="7" applyFont="true" applyBorder="true" applyAlignment="false" applyProtection="false"/>
    <xf numFmtId="164" fontId="48" fillId="24" borderId="1" applyFont="true" applyBorder="true" applyAlignment="false" applyProtection="false"/>
    <xf numFmtId="164" fontId="12" fillId="24" borderId="1" applyFont="true" applyBorder="true" applyAlignment="false" applyProtection="false"/>
    <xf numFmtId="169" fontId="0" fillId="0" borderId="0" applyFont="true" applyBorder="false" applyAlignment="false" applyProtection="false"/>
    <xf numFmtId="164" fontId="49" fillId="0" borderId="9" applyFont="true" applyBorder="true" applyAlignment="false" applyProtection="false"/>
    <xf numFmtId="164" fontId="50" fillId="0" borderId="9" applyFont="true" applyBorder="true" applyAlignment="false" applyProtection="false"/>
    <xf numFmtId="164" fontId="51" fillId="0" borderId="10" applyFont="true" applyBorder="true" applyAlignment="false" applyProtection="false"/>
    <xf numFmtId="164" fontId="52" fillId="0" borderId="10" applyFont="true" applyBorder="true" applyAlignment="false" applyProtection="false"/>
    <xf numFmtId="164" fontId="53" fillId="0" borderId="4" applyFont="true" applyBorder="true" applyAlignment="false" applyProtection="false"/>
    <xf numFmtId="164" fontId="23" fillId="0" borderId="4" applyFont="true" applyBorder="true" applyAlignment="false" applyProtection="false"/>
    <xf numFmtId="164" fontId="53" fillId="0" borderId="0" applyFont="true" applyBorder="false" applyAlignment="false" applyProtection="false"/>
    <xf numFmtId="164" fontId="23" fillId="0" borderId="0" applyFont="true" applyBorder="false" applyAlignment="false" applyProtection="false"/>
    <xf numFmtId="164" fontId="54" fillId="0" borderId="8" applyFont="true" applyBorder="true" applyAlignment="false" applyProtection="false"/>
    <xf numFmtId="164" fontId="44" fillId="0" borderId="8" applyFont="true" applyBorder="true" applyAlignment="false" applyProtection="false"/>
    <xf numFmtId="164" fontId="55" fillId="25" borderId="2" applyFont="true" applyBorder="true" applyAlignment="false" applyProtection="false"/>
    <xf numFmtId="164" fontId="13" fillId="25" borderId="2" applyFont="true" applyBorder="true" applyAlignment="false" applyProtection="false"/>
    <xf numFmtId="164" fontId="43" fillId="0" borderId="0" applyFont="true" applyBorder="false" applyAlignment="false" applyProtection="false"/>
    <xf numFmtId="164" fontId="43" fillId="0" borderId="0" applyFont="true" applyBorder="false" applyAlignment="false" applyProtection="false"/>
    <xf numFmtId="164" fontId="56" fillId="29" borderId="0" applyFont="true" applyBorder="false" applyAlignment="false" applyProtection="false"/>
    <xf numFmtId="164" fontId="57" fillId="29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9" fillId="3" borderId="0" applyFont="true" applyBorder="false" applyAlignment="false" applyProtection="false"/>
    <xf numFmtId="164" fontId="60" fillId="3" borderId="0" applyFont="true" applyBorder="false" applyAlignment="false" applyProtection="false"/>
    <xf numFmtId="164" fontId="61" fillId="0" borderId="0" applyFont="true" applyBorder="false" applyAlignment="false" applyProtection="false"/>
    <xf numFmtId="164" fontId="16" fillId="0" borderId="0" applyFont="true" applyBorder="false" applyAlignment="false" applyProtection="false"/>
    <xf numFmtId="164" fontId="0" fillId="28" borderId="11" applyFont="true" applyBorder="true" applyAlignment="false" applyProtection="false"/>
    <xf numFmtId="164" fontId="0" fillId="28" borderId="11" applyFont="true" applyBorder="tru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64" fontId="62" fillId="0" borderId="6" applyFont="true" applyBorder="true" applyAlignment="false" applyProtection="false"/>
    <xf numFmtId="164" fontId="38" fillId="0" borderId="6" applyFont="true" applyBorder="tru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3" fillId="0" borderId="0" applyFont="true" applyBorder="false" applyAlignment="false" applyProtection="false"/>
    <xf numFmtId="164" fontId="45" fillId="0" borderId="0" applyFont="true" applyBorder="false" applyAlignment="false" applyProtection="false"/>
    <xf numFmtId="171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4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5" fontId="0" fillId="0" borderId="0" applyFont="true" applyBorder="false" applyAlignment="false" applyProtection="false"/>
    <xf numFmtId="175" fontId="0" fillId="0" borderId="0" applyFont="true" applyBorder="false" applyAlignment="false" applyProtection="false"/>
    <xf numFmtId="17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77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4" fontId="64" fillId="4" borderId="0" applyFont="true" applyBorder="false" applyAlignment="false" applyProtection="false"/>
    <xf numFmtId="164" fontId="65" fillId="4" borderId="0" applyFont="true" applyBorder="false" applyAlignment="false" applyProtection="false"/>
    <xf numFmtId="167" fontId="66" fillId="0" border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8" fillId="0" border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8" fontId="67" fillId="0" borderId="0" applyFont="true" applyBorder="false" applyAlignment="true" applyProtection="true">
      <alignment horizontal="center" vertical="center" textRotation="0" wrapText="true" indent="0" shrinkToFit="false"/>
      <protection locked="false" hidden="false"/>
    </xf>
  </cellStyleXfs>
  <cellXfs count="2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3" xfId="2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0" fillId="0" borderId="14" xfId="208" applyFont="true" applyBorder="true" applyAlignment="true" applyProtection="false">
      <alignment horizontal="left" vertical="center" textRotation="0" wrapText="true" indent="0" shrinkToFit="false"/>
      <protection locked="false" hidden="false"/>
    </xf>
    <xf numFmtId="164" fontId="7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70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8" fillId="0" borderId="3" xfId="208" applyFont="true" applyBorder="true" applyAlignment="true" applyProtection="false">
      <alignment horizontal="left" vertical="center" textRotation="0" wrapText="true" indent="0" shrinkToFit="false"/>
      <protection locked="false" hidden="false"/>
    </xf>
    <xf numFmtId="171" fontId="6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8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0" fillId="0" borderId="3" xfId="208" applyFont="true" applyBorder="true" applyAlignment="true" applyProtection="false">
      <alignment horizontal="left" vertical="center" textRotation="0" wrapText="true" indent="0" shrinkToFit="false"/>
      <protection locked="false" hidden="false"/>
    </xf>
    <xf numFmtId="164" fontId="7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0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8" fillId="0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7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0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1" fontId="7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7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0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0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0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8" fillId="0" borderId="14" xfId="2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3" xfId="2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68" fillId="2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8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3" xfId="2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3" xfId="2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0" fillId="0" borderId="1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0" fillId="0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0" fillId="0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0" fillId="6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18" xfId="2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8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8" fillId="0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0" fillId="0" borderId="19" xfId="26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1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80" fontId="68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68" fillId="2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8" fillId="27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0" fontId="6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1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80" fontId="68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1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68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68" fillId="27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8" fillId="27" borderId="1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68" fillId="2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7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0" fillId="2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2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1" fontId="68" fillId="2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0" fillId="2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7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9" fontId="6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70" fillId="0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1" fontId="68" fillId="0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7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9" fontId="6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9" fontId="6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8" fillId="0" borderId="0" xfId="27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8" fillId="0" borderId="0" xfId="2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0" fillId="0" borderId="0" xfId="2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3" xfId="2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6" borderId="3" xfId="2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8" fillId="0" borderId="3" xfId="2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3" xfId="27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0" fillId="0" borderId="0" xfId="27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8" fillId="0" borderId="0" xfId="2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8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8" fillId="0" borderId="1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0" fillId="7" borderId="15" xfId="2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0" fillId="0" borderId="16" xfId="2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0" fillId="0" borderId="20" xfId="2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0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5" fillId="0" borderId="0" xfId="27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0" fillId="0" borderId="3" xfId="2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12" xfId="27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0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70" fillId="0" borderId="12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6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68" fillId="0" borderId="20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81" fontId="70" fillId="0" borderId="14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0" fillId="7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1" fontId="68" fillId="0" borderId="0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8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0" fillId="0" borderId="0" xfId="26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3" xfId="26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3" xfId="26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0" fillId="0" borderId="3" xfId="26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9" fontId="68" fillId="29" borderId="3" xfId="26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3" xfId="26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8" fillId="0" borderId="3" xfId="266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8" fillId="0" borderId="3" xfId="26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8" fillId="0" borderId="3" xfId="26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8" fillId="0" borderId="3" xfId="26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70" fillId="29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2" fontId="7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3" fontId="70" fillId="0" borderId="3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82" fontId="6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3" fontId="68" fillId="0" borderId="3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82" fontId="68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0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2" fontId="7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3" fontId="70" fillId="29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3" fontId="68" fillId="29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3" fontId="7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2" fontId="7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3" fontId="74" fillId="0" borderId="3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4" fontId="6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0" xfId="0" applyFont="true" applyBorder="true" applyAlignment="true" applyProtection="false">
      <alignment horizontal="justify" vertical="center" textRotation="0" wrapText="true" indent="0" shrinkToFit="true"/>
      <protection locked="true" hidden="false"/>
    </xf>
    <xf numFmtId="164" fontId="68" fillId="0" borderId="0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6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3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68" fillId="2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3" fontId="68" fillId="2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70" fillId="2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3" fontId="7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5" fontId="6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4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4" fontId="7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0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9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0" fillId="0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84" fontId="68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1" fontId="7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1" fontId="7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7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7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7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4" fontId="79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7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8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6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8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6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4" fontId="68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8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9" fontId="68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0" fillId="0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79" fontId="70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8" fillId="0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79" fontId="68" fillId="2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7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4" fontId="6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4" fontId="7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1" fontId="7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36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Accent1" xfId="20" builtinId="53" customBuiltin="true"/>
    <cellStyle name="20% - Accent2" xfId="21" builtinId="53" customBuiltin="true"/>
    <cellStyle name="20% - Accent3" xfId="22" builtinId="53" customBuiltin="true"/>
    <cellStyle name="20% - Accent4" xfId="23" builtinId="53" customBuiltin="true"/>
    <cellStyle name="20% - Accent5" xfId="24" builtinId="53" customBuiltin="true"/>
    <cellStyle name="20% - Accent6" xfId="25" builtinId="53" customBuiltin="true"/>
    <cellStyle name="20% - Акцент1 2" xfId="26" builtinId="53" customBuiltin="true"/>
    <cellStyle name="20% - Акцент1 3" xfId="27" builtinId="53" customBuiltin="true"/>
    <cellStyle name="20% - Акцент2 2" xfId="28" builtinId="53" customBuiltin="true"/>
    <cellStyle name="20% - Акцент2 3" xfId="29" builtinId="53" customBuiltin="true"/>
    <cellStyle name="20% - Акцент3 2" xfId="30" builtinId="53" customBuiltin="true"/>
    <cellStyle name="20% - Акцент3 3" xfId="31" builtinId="53" customBuiltin="true"/>
    <cellStyle name="20% - Акцент4 2" xfId="32" builtinId="53" customBuiltin="true"/>
    <cellStyle name="20% - Акцент4 3" xfId="33" builtinId="53" customBuiltin="true"/>
    <cellStyle name="20% - Акцент5 2" xfId="34" builtinId="53" customBuiltin="true"/>
    <cellStyle name="20% - Акцент5 3" xfId="35" builtinId="53" customBuiltin="true"/>
    <cellStyle name="20% - Акцент6 2" xfId="36" builtinId="53" customBuiltin="true"/>
    <cellStyle name="20% - Акцент6 3" xfId="37" builtinId="53" customBuiltin="true"/>
    <cellStyle name="40% - Accent1" xfId="38" builtinId="53" customBuiltin="true"/>
    <cellStyle name="40% - Accent2" xfId="39" builtinId="53" customBuiltin="true"/>
    <cellStyle name="40% - Accent3" xfId="40" builtinId="53" customBuiltin="true"/>
    <cellStyle name="40% - Accent4" xfId="41" builtinId="53" customBuiltin="true"/>
    <cellStyle name="40% - Accent5" xfId="42" builtinId="53" customBuiltin="true"/>
    <cellStyle name="40% - Accent6" xfId="43" builtinId="53" customBuiltin="true"/>
    <cellStyle name="40% - Акцент1 2" xfId="44" builtinId="53" customBuiltin="true"/>
    <cellStyle name="40% - Акцент1 3" xfId="45" builtinId="53" customBuiltin="true"/>
    <cellStyle name="40% - Акцент2 2" xfId="46" builtinId="53" customBuiltin="true"/>
    <cellStyle name="40% - Акцент2 3" xfId="47" builtinId="53" customBuiltin="true"/>
    <cellStyle name="40% - Акцент3 2" xfId="48" builtinId="53" customBuiltin="true"/>
    <cellStyle name="40% - Акцент3 3" xfId="49" builtinId="53" customBuiltin="true"/>
    <cellStyle name="40% - Акцент4 2" xfId="50" builtinId="53" customBuiltin="true"/>
    <cellStyle name="40% - Акцент4 3" xfId="51" builtinId="53" customBuiltin="true"/>
    <cellStyle name="40% - Акцент5 2" xfId="52" builtinId="53" customBuiltin="true"/>
    <cellStyle name="40% - Акцент5 3" xfId="53" builtinId="53" customBuiltin="true"/>
    <cellStyle name="40% - Акцент6 2" xfId="54" builtinId="53" customBuiltin="true"/>
    <cellStyle name="40% - Акцент6 3" xfId="55" builtinId="53" customBuiltin="true"/>
    <cellStyle name="60% - Accent1" xfId="56" builtinId="53" customBuiltin="true"/>
    <cellStyle name="60% - Accent2" xfId="57" builtinId="53" customBuiltin="true"/>
    <cellStyle name="60% - Accent3" xfId="58" builtinId="53" customBuiltin="true"/>
    <cellStyle name="60% - Accent4" xfId="59" builtinId="53" customBuiltin="true"/>
    <cellStyle name="60% - Accent5" xfId="60" builtinId="53" customBuiltin="true"/>
    <cellStyle name="60% - Accent6" xfId="61" builtinId="53" customBuiltin="true"/>
    <cellStyle name="60% - Акцент1 2" xfId="62" builtinId="53" customBuiltin="true"/>
    <cellStyle name="60% - Акцент1 3" xfId="63" builtinId="53" customBuiltin="true"/>
    <cellStyle name="60% - Акцент2 2" xfId="64" builtinId="53" customBuiltin="true"/>
    <cellStyle name="60% - Акцент2 3" xfId="65" builtinId="53" customBuiltin="true"/>
    <cellStyle name="60% - Акцент3 2" xfId="66" builtinId="53" customBuiltin="true"/>
    <cellStyle name="60% - Акцент3 3" xfId="67" builtinId="53" customBuiltin="true"/>
    <cellStyle name="60% - Акцент4 2" xfId="68" builtinId="53" customBuiltin="true"/>
    <cellStyle name="60% - Акцент4 3" xfId="69" builtinId="53" customBuiltin="true"/>
    <cellStyle name="60% - Акцент5 2" xfId="70" builtinId="53" customBuiltin="true"/>
    <cellStyle name="60% - Акцент5 3" xfId="71" builtinId="53" customBuiltin="true"/>
    <cellStyle name="60% - Акцент6 2" xfId="72" builtinId="53" customBuiltin="true"/>
    <cellStyle name="60% - Акцент6 3" xfId="73" builtinId="53" customBuiltin="true"/>
    <cellStyle name="_Fakt_2" xfId="74" builtinId="53" customBuiltin="true"/>
    <cellStyle name="_rozhufrovka 2009" xfId="75" builtinId="53" customBuiltin="true"/>
    <cellStyle name="_АТиСТ 5а МТР липень 2008" xfId="76" builtinId="53" customBuiltin="true"/>
    <cellStyle name="_ПРГК сводний_" xfId="77" builtinId="53" customBuiltin="true"/>
    <cellStyle name="_УТГ" xfId="78" builtinId="53" customBuiltin="true"/>
    <cellStyle name="_Феодосия 5а МТР липень 2008" xfId="79" builtinId="53" customBuiltin="true"/>
    <cellStyle name="_ХТГ довідка." xfId="80" builtinId="53" customBuiltin="true"/>
    <cellStyle name="_Шебелинка 5а МТР липень 2008" xfId="81" builtinId="53" customBuiltin="true"/>
    <cellStyle name="Accent" xfId="82" builtinId="53" customBuiltin="true"/>
    <cellStyle name="Accent 1" xfId="83" builtinId="53" customBuiltin="true"/>
    <cellStyle name="Accent 2" xfId="84" builtinId="53" customBuiltin="true"/>
    <cellStyle name="Accent 3" xfId="85" builtinId="53" customBuiltin="true"/>
    <cellStyle name="Accent1" xfId="86" builtinId="53" customBuiltin="true"/>
    <cellStyle name="Accent2" xfId="87" builtinId="53" customBuiltin="true"/>
    <cellStyle name="Accent3" xfId="88" builtinId="53" customBuiltin="true"/>
    <cellStyle name="Accent4" xfId="89" builtinId="53" customBuiltin="true"/>
    <cellStyle name="Accent5" xfId="90" builtinId="53" customBuiltin="true"/>
    <cellStyle name="Accent6" xfId="91" builtinId="53" customBuiltin="true"/>
    <cellStyle name="Bad" xfId="92" builtinId="53" customBuiltin="true"/>
    <cellStyle name="Calculation" xfId="93" builtinId="53" customBuiltin="true"/>
    <cellStyle name="Check Cell" xfId="94" builtinId="53" customBuiltin="true"/>
    <cellStyle name="Column-Header" xfId="95" builtinId="53" customBuiltin="true"/>
    <cellStyle name="Column-Header 2" xfId="96" builtinId="53" customBuiltin="true"/>
    <cellStyle name="Column-Header 3" xfId="97" builtinId="53" customBuiltin="true"/>
    <cellStyle name="Column-Header 4" xfId="98" builtinId="53" customBuiltin="true"/>
    <cellStyle name="Column-Header 5" xfId="99" builtinId="53" customBuiltin="true"/>
    <cellStyle name="Column-Header 6" xfId="100" builtinId="53" customBuiltin="true"/>
    <cellStyle name="Column-Header 7" xfId="101" builtinId="53" customBuiltin="true"/>
    <cellStyle name="Column-Header 7 2" xfId="102" builtinId="53" customBuiltin="true"/>
    <cellStyle name="Column-Header 8" xfId="103" builtinId="53" customBuiltin="true"/>
    <cellStyle name="Column-Header 8 2" xfId="104" builtinId="53" customBuiltin="true"/>
    <cellStyle name="Column-Header 9" xfId="105" builtinId="53" customBuiltin="true"/>
    <cellStyle name="Column-Header 9 2" xfId="106" builtinId="53" customBuiltin="true"/>
    <cellStyle name="Column-Header_Zvit rux-koshtiv 2010 Департамент " xfId="107" builtinId="53" customBuiltin="true"/>
    <cellStyle name="Comma_2005_03_15-Финансовый_БГ" xfId="108" builtinId="53" customBuiltin="true"/>
    <cellStyle name="Define-Column" xfId="109" builtinId="53" customBuiltin="true"/>
    <cellStyle name="Define-Column 10" xfId="110" builtinId="53" customBuiltin="true"/>
    <cellStyle name="Define-Column 2" xfId="111" builtinId="53" customBuiltin="true"/>
    <cellStyle name="Define-Column 3" xfId="112" builtinId="53" customBuiltin="true"/>
    <cellStyle name="Define-Column 4" xfId="113" builtinId="53" customBuiltin="true"/>
    <cellStyle name="Define-Column 5" xfId="114" builtinId="53" customBuiltin="true"/>
    <cellStyle name="Define-Column 6" xfId="115" builtinId="53" customBuiltin="true"/>
    <cellStyle name="Define-Column 7" xfId="116" builtinId="53" customBuiltin="true"/>
    <cellStyle name="Define-Column 7 2" xfId="117" builtinId="53" customBuiltin="true"/>
    <cellStyle name="Define-Column 7 3" xfId="118" builtinId="53" customBuiltin="true"/>
    <cellStyle name="Define-Column 8" xfId="119" builtinId="53" customBuiltin="true"/>
    <cellStyle name="Define-Column 8 2" xfId="120" builtinId="53" customBuiltin="true"/>
    <cellStyle name="Define-Column 8 3" xfId="121" builtinId="53" customBuiltin="true"/>
    <cellStyle name="Define-Column 9" xfId="122" builtinId="53" customBuiltin="true"/>
    <cellStyle name="Define-Column 9 2" xfId="123" builtinId="53" customBuiltin="true"/>
    <cellStyle name="Define-Column 9 3" xfId="124" builtinId="53" customBuiltin="true"/>
    <cellStyle name="Define-Column_Zvit rux-koshtiv 2010 Департамент " xfId="125" builtinId="53" customBuiltin="true"/>
    <cellStyle name="Error" xfId="126" builtinId="53" customBuiltin="true"/>
    <cellStyle name="Explanatory Text" xfId="127" builtinId="53" customBuiltin="true"/>
    <cellStyle name="Footnote" xfId="128" builtinId="53" customBuiltin="true"/>
    <cellStyle name="FS10" xfId="129" builtinId="53" customBuiltin="true"/>
    <cellStyle name="Good" xfId="130" builtinId="53" customBuiltin="true"/>
    <cellStyle name="Heading" xfId="131" builtinId="53" customBuiltin="true"/>
    <cellStyle name="Heading 1" xfId="132" builtinId="53" customBuiltin="true"/>
    <cellStyle name="Heading 2" xfId="133" builtinId="53" customBuiltin="true"/>
    <cellStyle name="Heading 3" xfId="134" builtinId="53" customBuiltin="true"/>
    <cellStyle name="Heading 4" xfId="135" builtinId="53" customBuiltin="true"/>
    <cellStyle name="Hyperlink 2" xfId="136" builtinId="53" customBuiltin="true"/>
    <cellStyle name="Input" xfId="137" builtinId="53" customBuiltin="true"/>
    <cellStyle name="Level0" xfId="138" builtinId="53" customBuiltin="true"/>
    <cellStyle name="Level0 10" xfId="139" builtinId="53" customBuiltin="true"/>
    <cellStyle name="Level0 2" xfId="140" builtinId="53" customBuiltin="true"/>
    <cellStyle name="Level0 2 2" xfId="141" builtinId="53" customBuiltin="true"/>
    <cellStyle name="Level0 3" xfId="142" builtinId="53" customBuiltin="true"/>
    <cellStyle name="Level0 3 2" xfId="143" builtinId="53" customBuiltin="true"/>
    <cellStyle name="Level0 4" xfId="144" builtinId="53" customBuiltin="true"/>
    <cellStyle name="Level0 4 2" xfId="145" builtinId="53" customBuiltin="true"/>
    <cellStyle name="Level0 5" xfId="146" builtinId="53" customBuiltin="true"/>
    <cellStyle name="Level0 6" xfId="147" builtinId="53" customBuiltin="true"/>
    <cellStyle name="Level0 7" xfId="148" builtinId="53" customBuiltin="true"/>
    <cellStyle name="Level0 7 2" xfId="149" builtinId="53" customBuiltin="true"/>
    <cellStyle name="Level0 7 3" xfId="150" builtinId="53" customBuiltin="true"/>
    <cellStyle name="Level0 8" xfId="151" builtinId="53" customBuiltin="true"/>
    <cellStyle name="Level0 8 2" xfId="152" builtinId="53" customBuiltin="true"/>
    <cellStyle name="Level0 8 3" xfId="153" builtinId="53" customBuiltin="true"/>
    <cellStyle name="Level0 9" xfId="154" builtinId="53" customBuiltin="true"/>
    <cellStyle name="Level0 9 2" xfId="155" builtinId="53" customBuiltin="true"/>
    <cellStyle name="Level0 9 3" xfId="156" builtinId="53" customBuiltin="true"/>
    <cellStyle name="Level0_Zvit rux-koshtiv 2010 Департамент " xfId="157" builtinId="53" customBuiltin="true"/>
    <cellStyle name="Level1" xfId="158" builtinId="53" customBuiltin="true"/>
    <cellStyle name="Level1 2" xfId="159" builtinId="53" customBuiltin="true"/>
    <cellStyle name="Level1-Numbers" xfId="160" builtinId="53" customBuiltin="true"/>
    <cellStyle name="Level1-Numbers 2" xfId="161" builtinId="53" customBuiltin="true"/>
    <cellStyle name="Level1-Numbers-Hide" xfId="162" builtinId="53" customBuiltin="true"/>
    <cellStyle name="Level2" xfId="163" builtinId="53" customBuiltin="true"/>
    <cellStyle name="Level2 2" xfId="164" builtinId="53" customBuiltin="true"/>
    <cellStyle name="Level2-Hide" xfId="165" builtinId="53" customBuiltin="true"/>
    <cellStyle name="Level2-Hide 2" xfId="166" builtinId="53" customBuiltin="true"/>
    <cellStyle name="Level2-Numbers" xfId="167" builtinId="53" customBuiltin="true"/>
    <cellStyle name="Level2-Numbers 2" xfId="168" builtinId="53" customBuiltin="true"/>
    <cellStyle name="Level2-Numbers-Hide" xfId="169" builtinId="53" customBuiltin="true"/>
    <cellStyle name="Level3" xfId="170" builtinId="53" customBuiltin="true"/>
    <cellStyle name="Level3 2" xfId="171" builtinId="53" customBuiltin="true"/>
    <cellStyle name="Level3 3" xfId="172" builtinId="53" customBuiltin="true"/>
    <cellStyle name="Level3-Hide" xfId="173" builtinId="53" customBuiltin="true"/>
    <cellStyle name="Level3-Hide 2" xfId="174" builtinId="53" customBuiltin="true"/>
    <cellStyle name="Level3-Numbers" xfId="175" builtinId="53" customBuiltin="true"/>
    <cellStyle name="Level3-Numbers 2" xfId="176" builtinId="53" customBuiltin="true"/>
    <cellStyle name="Level3-Numbers 3" xfId="177" builtinId="53" customBuiltin="true"/>
    <cellStyle name="Level3-Numbers-Hide" xfId="178" builtinId="53" customBuiltin="true"/>
    <cellStyle name="Level3-Numbers_План департамент_2010_1207" xfId="179" builtinId="53" customBuiltin="true"/>
    <cellStyle name="Level3_План департамент_2010_1207" xfId="180" builtinId="53" customBuiltin="true"/>
    <cellStyle name="Level4" xfId="181" builtinId="53" customBuiltin="true"/>
    <cellStyle name="Level4 2" xfId="182" builtinId="53" customBuiltin="true"/>
    <cellStyle name="Level4-Hide" xfId="183" builtinId="53" customBuiltin="true"/>
    <cellStyle name="Level4-Hide 2" xfId="184" builtinId="53" customBuiltin="true"/>
    <cellStyle name="Level4-Numbers" xfId="185" builtinId="53" customBuiltin="true"/>
    <cellStyle name="Level4-Numbers 2" xfId="186" builtinId="53" customBuiltin="true"/>
    <cellStyle name="Level4-Numbers-Hide" xfId="187" builtinId="53" customBuiltin="true"/>
    <cellStyle name="Level5" xfId="188" builtinId="53" customBuiltin="true"/>
    <cellStyle name="Level5 2" xfId="189" builtinId="53" customBuiltin="true"/>
    <cellStyle name="Level5-Hide" xfId="190" builtinId="53" customBuiltin="true"/>
    <cellStyle name="Level5-Hide 2" xfId="191" builtinId="53" customBuiltin="true"/>
    <cellStyle name="Level5-Numbers" xfId="192" builtinId="53" customBuiltin="true"/>
    <cellStyle name="Level5-Numbers 2" xfId="193" builtinId="53" customBuiltin="true"/>
    <cellStyle name="Level5-Numbers-Hide" xfId="194" builtinId="53" customBuiltin="true"/>
    <cellStyle name="Level6" xfId="195" builtinId="53" customBuiltin="true"/>
    <cellStyle name="Level6 2" xfId="196" builtinId="53" customBuiltin="true"/>
    <cellStyle name="Level6-Hide" xfId="197" builtinId="53" customBuiltin="true"/>
    <cellStyle name="Level6-Hide 2" xfId="198" builtinId="53" customBuiltin="true"/>
    <cellStyle name="Level6-Numbers" xfId="199" builtinId="53" customBuiltin="true"/>
    <cellStyle name="Level6-Numbers 2" xfId="200" builtinId="53" customBuiltin="true"/>
    <cellStyle name="Level7" xfId="201" builtinId="53" customBuiltin="true"/>
    <cellStyle name="Level7-Hide" xfId="202" builtinId="53" customBuiltin="true"/>
    <cellStyle name="Level7-Numbers" xfId="203" builtinId="53" customBuiltin="true"/>
    <cellStyle name="Linked Cell" xfId="204" builtinId="53" customBuiltin="true"/>
    <cellStyle name="Neutral" xfId="205" builtinId="53" customBuiltin="true"/>
    <cellStyle name="Normal 2" xfId="206" builtinId="53" customBuiltin="true"/>
    <cellStyle name="Normal_2005_03_15-Финансовый_БГ" xfId="207" builtinId="53" customBuiltin="true"/>
    <cellStyle name="Normal_GSE DCF_Model_31_07_09 final" xfId="208" builtinId="53" customBuiltin="true"/>
    <cellStyle name="Note" xfId="209" builtinId="53" customBuiltin="true"/>
    <cellStyle name="Number-Cells" xfId="210" builtinId="53" customBuiltin="true"/>
    <cellStyle name="Number-Cells-Column2" xfId="211" builtinId="53" customBuiltin="true"/>
    <cellStyle name="Number-Cells-Column5" xfId="212" builtinId="53" customBuiltin="true"/>
    <cellStyle name="Output" xfId="213" builtinId="53" customBuiltin="true"/>
    <cellStyle name="Row-Header" xfId="214" builtinId="53" customBuiltin="true"/>
    <cellStyle name="Row-Header 2" xfId="215" builtinId="53" customBuiltin="true"/>
    <cellStyle name="Status" xfId="216" builtinId="53" customBuiltin="true"/>
    <cellStyle name="Text" xfId="217" builtinId="53" customBuiltin="true"/>
    <cellStyle name="Title" xfId="218" builtinId="53" customBuiltin="true"/>
    <cellStyle name="Total" xfId="219" builtinId="53" customBuiltin="true"/>
    <cellStyle name="Warning" xfId="220" builtinId="53" customBuiltin="true"/>
    <cellStyle name="Warning Text" xfId="221" builtinId="53" customBuiltin="true"/>
    <cellStyle name="Акцент1 2" xfId="222" builtinId="53" customBuiltin="true"/>
    <cellStyle name="Акцент1 3" xfId="223" builtinId="53" customBuiltin="true"/>
    <cellStyle name="Акцент2 2" xfId="224" builtinId="53" customBuiltin="true"/>
    <cellStyle name="Акцент2 3" xfId="225" builtinId="53" customBuiltin="true"/>
    <cellStyle name="Акцент3 2" xfId="226" builtinId="53" customBuiltin="true"/>
    <cellStyle name="Акцент3 3" xfId="227" builtinId="53" customBuiltin="true"/>
    <cellStyle name="Акцент4 2" xfId="228" builtinId="53" customBuiltin="true"/>
    <cellStyle name="Акцент4 3" xfId="229" builtinId="53" customBuiltin="true"/>
    <cellStyle name="Акцент5 2" xfId="230" builtinId="53" customBuiltin="true"/>
    <cellStyle name="Акцент5 3" xfId="231" builtinId="53" customBuiltin="true"/>
    <cellStyle name="Акцент6 2" xfId="232" builtinId="53" customBuiltin="true"/>
    <cellStyle name="Акцент6 3" xfId="233" builtinId="53" customBuiltin="true"/>
    <cellStyle name="Ввод  2" xfId="234" builtinId="53" customBuiltin="true"/>
    <cellStyle name="Ввод  3" xfId="235" builtinId="53" customBuiltin="true"/>
    <cellStyle name="Вывод 2" xfId="236" builtinId="53" customBuiltin="true"/>
    <cellStyle name="Вывод 3" xfId="237" builtinId="53" customBuiltin="true"/>
    <cellStyle name="Вычисление 2" xfId="238" builtinId="53" customBuiltin="true"/>
    <cellStyle name="Вычисление 3" xfId="239" builtinId="53" customBuiltin="true"/>
    <cellStyle name="Денежный 2" xfId="240" builtinId="53" customBuiltin="true"/>
    <cellStyle name="Заголовок 1 2" xfId="241" builtinId="53" customBuiltin="true"/>
    <cellStyle name="Заголовок 1 3" xfId="242" builtinId="53" customBuiltin="true"/>
    <cellStyle name="Заголовок 2 2" xfId="243" builtinId="53" customBuiltin="true"/>
    <cellStyle name="Заголовок 2 3" xfId="244" builtinId="53" customBuiltin="true"/>
    <cellStyle name="Заголовок 3 2" xfId="245" builtinId="53" customBuiltin="true"/>
    <cellStyle name="Заголовок 3 3" xfId="246" builtinId="53" customBuiltin="true"/>
    <cellStyle name="Заголовок 4 2" xfId="247" builtinId="53" customBuiltin="true"/>
    <cellStyle name="Заголовок 4 3" xfId="248" builtinId="53" customBuiltin="true"/>
    <cellStyle name="Итог 2" xfId="249" builtinId="53" customBuiltin="true"/>
    <cellStyle name="Итог 3" xfId="250" builtinId="53" customBuiltin="true"/>
    <cellStyle name="Контрольная ячейка 2" xfId="251" builtinId="53" customBuiltin="true"/>
    <cellStyle name="Контрольная ячейка 3" xfId="252" builtinId="53" customBuiltin="true"/>
    <cellStyle name="Название 2" xfId="253" builtinId="53" customBuiltin="true"/>
    <cellStyle name="Название 3" xfId="254" builtinId="53" customBuiltin="true"/>
    <cellStyle name="Нейтральный 2" xfId="255" builtinId="53" customBuiltin="true"/>
    <cellStyle name="Нейтральный 3" xfId="256" builtinId="53" customBuiltin="true"/>
    <cellStyle name="Обычный 10" xfId="257" builtinId="53" customBuiltin="true"/>
    <cellStyle name="Обычный 11" xfId="258" builtinId="53" customBuiltin="true"/>
    <cellStyle name="Обычный 12" xfId="259" builtinId="53" customBuiltin="true"/>
    <cellStyle name="Обычный 13" xfId="260" builtinId="53" customBuiltin="true"/>
    <cellStyle name="Обычный 14" xfId="261" builtinId="53" customBuiltin="true"/>
    <cellStyle name="Обычный 15" xfId="262" builtinId="53" customBuiltin="true"/>
    <cellStyle name="Обычный 16" xfId="263" builtinId="53" customBuiltin="true"/>
    <cellStyle name="Обычный 17" xfId="264" builtinId="53" customBuiltin="true"/>
    <cellStyle name="Обычный 18" xfId="265" builtinId="53" customBuiltin="true"/>
    <cellStyle name="Обычный 2" xfId="266" builtinId="53" customBuiltin="true"/>
    <cellStyle name="Обычный 2 10" xfId="267" builtinId="53" customBuiltin="true"/>
    <cellStyle name="Обычный 2 11" xfId="268" builtinId="53" customBuiltin="true"/>
    <cellStyle name="Обычный 2 12" xfId="269" builtinId="53" customBuiltin="true"/>
    <cellStyle name="Обычный 2 13" xfId="270" builtinId="53" customBuiltin="true"/>
    <cellStyle name="Обычный 2 14" xfId="271" builtinId="53" customBuiltin="true"/>
    <cellStyle name="Обычный 2 15" xfId="272" builtinId="53" customBuiltin="true"/>
    <cellStyle name="Обычный 2 16" xfId="273" builtinId="53" customBuiltin="true"/>
    <cellStyle name="Обычный 2 2" xfId="274" builtinId="53" customBuiltin="true"/>
    <cellStyle name="Обычный 2 2 2" xfId="275" builtinId="53" customBuiltin="true"/>
    <cellStyle name="Обычный 2 2 3" xfId="276" builtinId="53" customBuiltin="true"/>
    <cellStyle name="Обычный 2 2_Расшифровка прочих" xfId="277" builtinId="53" customBuiltin="true"/>
    <cellStyle name="Обычный 2 3" xfId="278" builtinId="53" customBuiltin="true"/>
    <cellStyle name="Обычный 2 4" xfId="279" builtinId="53" customBuiltin="true"/>
    <cellStyle name="Обычный 2 5" xfId="280" builtinId="53" customBuiltin="true"/>
    <cellStyle name="Обычный 2 6" xfId="281" builtinId="53" customBuiltin="true"/>
    <cellStyle name="Обычный 2 7" xfId="282" builtinId="53" customBuiltin="true"/>
    <cellStyle name="Обычный 2 8" xfId="283" builtinId="53" customBuiltin="true"/>
    <cellStyle name="Обычный 2 9" xfId="284" builtinId="53" customBuiltin="true"/>
    <cellStyle name="Обычный 2_2604-2010" xfId="285" builtinId="53" customBuiltin="true"/>
    <cellStyle name="Обычный 3" xfId="286" builtinId="53" customBuiltin="true"/>
    <cellStyle name="Обычный 3 10" xfId="287" builtinId="53" customBuiltin="true"/>
    <cellStyle name="Обычный 3 11" xfId="288" builtinId="53" customBuiltin="true"/>
    <cellStyle name="Обычный 3 12" xfId="289" builtinId="53" customBuiltin="true"/>
    <cellStyle name="Обычный 3 13" xfId="290" builtinId="53" customBuiltin="true"/>
    <cellStyle name="Обычный 3 14" xfId="291" builtinId="53" customBuiltin="true"/>
    <cellStyle name="Обычный 3 2" xfId="292" builtinId="53" customBuiltin="true"/>
    <cellStyle name="Обычный 3 3" xfId="293" builtinId="53" customBuiltin="true"/>
    <cellStyle name="Обычный 3 4" xfId="294" builtinId="53" customBuiltin="true"/>
    <cellStyle name="Обычный 3 5" xfId="295" builtinId="53" customBuiltin="true"/>
    <cellStyle name="Обычный 3 6" xfId="296" builtinId="53" customBuiltin="true"/>
    <cellStyle name="Обычный 3 7" xfId="297" builtinId="53" customBuiltin="true"/>
    <cellStyle name="Обычный 3 8" xfId="298" builtinId="53" customBuiltin="true"/>
    <cellStyle name="Обычный 3 9" xfId="299" builtinId="53" customBuiltin="true"/>
    <cellStyle name="Обычный 3_Дефицит_7 млрд_0608_бс" xfId="300" builtinId="53" customBuiltin="true"/>
    <cellStyle name="Обычный 4" xfId="301" builtinId="53" customBuiltin="true"/>
    <cellStyle name="Обычный 5" xfId="302" builtinId="53" customBuiltin="true"/>
    <cellStyle name="Обычный 5 2" xfId="303" builtinId="53" customBuiltin="true"/>
    <cellStyle name="Обычный 6" xfId="304" builtinId="53" customBuiltin="true"/>
    <cellStyle name="Обычный 6 2" xfId="305" builtinId="53" customBuiltin="true"/>
    <cellStyle name="Обычный 6 3" xfId="306" builtinId="53" customBuiltin="true"/>
    <cellStyle name="Обычный 6 4" xfId="307" builtinId="53" customBuiltin="true"/>
    <cellStyle name="Обычный 6_Дефицит_7 млрд_0608_бс" xfId="308" builtinId="53" customBuiltin="true"/>
    <cellStyle name="Обычный 7" xfId="309" builtinId="53" customBuiltin="true"/>
    <cellStyle name="Обычный 7 2" xfId="310" builtinId="53" customBuiltin="true"/>
    <cellStyle name="Обычный 8" xfId="311" builtinId="53" customBuiltin="true"/>
    <cellStyle name="Обычный 9" xfId="312" builtinId="53" customBuiltin="true"/>
    <cellStyle name="Обычный 9 2" xfId="313" builtinId="53" customBuiltin="true"/>
    <cellStyle name="Плохой 2" xfId="314" builtinId="53" customBuiltin="true"/>
    <cellStyle name="Плохой 3" xfId="315" builtinId="53" customBuiltin="true"/>
    <cellStyle name="Пояснение 2" xfId="316" builtinId="53" customBuiltin="true"/>
    <cellStyle name="Пояснение 3" xfId="317" builtinId="53" customBuiltin="true"/>
    <cellStyle name="Примечание 2" xfId="318" builtinId="53" customBuiltin="true"/>
    <cellStyle name="Примечание 3" xfId="319" builtinId="53" customBuiltin="true"/>
    <cellStyle name="Процентный 2" xfId="320" builtinId="53" customBuiltin="true"/>
    <cellStyle name="Процентный 2 10" xfId="321" builtinId="53" customBuiltin="true"/>
    <cellStyle name="Процентный 2 11" xfId="322" builtinId="53" customBuiltin="true"/>
    <cellStyle name="Процентный 2 12" xfId="323" builtinId="53" customBuiltin="true"/>
    <cellStyle name="Процентный 2 13" xfId="324" builtinId="53" customBuiltin="true"/>
    <cellStyle name="Процентный 2 14" xfId="325" builtinId="53" customBuiltin="true"/>
    <cellStyle name="Процентный 2 15" xfId="326" builtinId="53" customBuiltin="true"/>
    <cellStyle name="Процентный 2 16" xfId="327" builtinId="53" customBuiltin="true"/>
    <cellStyle name="Процентный 2 2" xfId="328" builtinId="53" customBuiltin="true"/>
    <cellStyle name="Процентный 2 3" xfId="329" builtinId="53" customBuiltin="true"/>
    <cellStyle name="Процентный 2 4" xfId="330" builtinId="53" customBuiltin="true"/>
    <cellStyle name="Процентный 2 5" xfId="331" builtinId="53" customBuiltin="true"/>
    <cellStyle name="Процентный 2 6" xfId="332" builtinId="53" customBuiltin="true"/>
    <cellStyle name="Процентный 2 7" xfId="333" builtinId="53" customBuiltin="true"/>
    <cellStyle name="Процентный 2 8" xfId="334" builtinId="53" customBuiltin="true"/>
    <cellStyle name="Процентный 2 9" xfId="335" builtinId="53" customBuiltin="true"/>
    <cellStyle name="Процентный 3" xfId="336" builtinId="53" customBuiltin="true"/>
    <cellStyle name="Процентный 4" xfId="337" builtinId="53" customBuiltin="true"/>
    <cellStyle name="Процентный 4 2" xfId="338" builtinId="53" customBuiltin="true"/>
    <cellStyle name="Связанная ячейка 2" xfId="339" builtinId="53" customBuiltin="true"/>
    <cellStyle name="Связанная ячейка 3" xfId="340" builtinId="53" customBuiltin="true"/>
    <cellStyle name="Стиль 1" xfId="341" builtinId="53" customBuiltin="true"/>
    <cellStyle name="Стиль 1 2" xfId="342" builtinId="53" customBuiltin="true"/>
    <cellStyle name="Стиль 1 3" xfId="343" builtinId="53" customBuiltin="true"/>
    <cellStyle name="Стиль 1 4" xfId="344" builtinId="53" customBuiltin="true"/>
    <cellStyle name="Стиль 1 5" xfId="345" builtinId="53" customBuiltin="true"/>
    <cellStyle name="Стиль 1 6" xfId="346" builtinId="53" customBuiltin="true"/>
    <cellStyle name="Стиль 1 7" xfId="347" builtinId="53" customBuiltin="true"/>
    <cellStyle name="Текст предупреждения 2" xfId="348" builtinId="53" customBuiltin="true"/>
    <cellStyle name="Текст предупреждения 3" xfId="349" builtinId="53" customBuiltin="true"/>
    <cellStyle name="Тысячи [0]_1.62" xfId="350" builtinId="53" customBuiltin="true"/>
    <cellStyle name="Тысячи_1.62" xfId="351" builtinId="53" customBuiltin="true"/>
    <cellStyle name="Финансовый 2" xfId="352" builtinId="53" customBuiltin="true"/>
    <cellStyle name="Финансовый 2 10" xfId="353" builtinId="53" customBuiltin="true"/>
    <cellStyle name="Финансовый 2 11" xfId="354" builtinId="53" customBuiltin="true"/>
    <cellStyle name="Финансовый 2 12" xfId="355" builtinId="53" customBuiltin="true"/>
    <cellStyle name="Финансовый 2 13" xfId="356" builtinId="53" customBuiltin="true"/>
    <cellStyle name="Финансовый 2 14" xfId="357" builtinId="53" customBuiltin="true"/>
    <cellStyle name="Финансовый 2 15" xfId="358" builtinId="53" customBuiltin="true"/>
    <cellStyle name="Финансовый 2 16" xfId="359" builtinId="53" customBuiltin="true"/>
    <cellStyle name="Финансовый 2 17" xfId="360" builtinId="53" customBuiltin="true"/>
    <cellStyle name="Финансовый 2 2" xfId="361" builtinId="53" customBuiltin="true"/>
    <cellStyle name="Финансовый 2 3" xfId="362" builtinId="53" customBuiltin="true"/>
    <cellStyle name="Финансовый 2 4" xfId="363" builtinId="53" customBuiltin="true"/>
    <cellStyle name="Финансовый 2 5" xfId="364" builtinId="53" customBuiltin="true"/>
    <cellStyle name="Финансовый 2 6" xfId="365" builtinId="53" customBuiltin="true"/>
    <cellStyle name="Финансовый 2 7" xfId="366" builtinId="53" customBuiltin="true"/>
    <cellStyle name="Финансовый 2 8" xfId="367" builtinId="53" customBuiltin="true"/>
    <cellStyle name="Финансовый 2 9" xfId="368" builtinId="53" customBuiltin="true"/>
    <cellStyle name="Финансовый 3" xfId="369" builtinId="53" customBuiltin="true"/>
    <cellStyle name="Финансовый 3 2" xfId="370" builtinId="53" customBuiltin="true"/>
    <cellStyle name="Финансовый 4" xfId="371" builtinId="53" customBuiltin="true"/>
    <cellStyle name="Финансовый 4 2" xfId="372" builtinId="53" customBuiltin="true"/>
    <cellStyle name="Финансовый 4 3" xfId="373" builtinId="53" customBuiltin="true"/>
    <cellStyle name="Финансовый 5" xfId="374" builtinId="53" customBuiltin="true"/>
    <cellStyle name="Финансовый 6" xfId="375" builtinId="53" customBuiltin="true"/>
    <cellStyle name="Финансовый 7" xfId="376" builtinId="53" customBuiltin="true"/>
    <cellStyle name="Хороший 2" xfId="377" builtinId="53" customBuiltin="true"/>
    <cellStyle name="Хороший 3" xfId="378" builtinId="53" customBuiltin="true"/>
    <cellStyle name="Ю" xfId="379" builtinId="53" customBuiltin="true"/>
    <cellStyle name="Ю-FreeSet_10" xfId="380" builtinId="53" customBuiltin="true"/>
    <cellStyle name="числовой" xfId="38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FFCCC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212121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externalLink" Target="externalLinks/externalLink2.xml"/><Relationship Id="rId11" Type="http://schemas.openxmlformats.org/officeDocument/2006/relationships/externalLink" Target="externalLinks/externalLink3.xml"/><Relationship Id="rId12" Type="http://schemas.openxmlformats.org/officeDocument/2006/relationships/externalLink" Target="externalLinks/externalLink1.xml"/><Relationship Id="rId13" Type="http://schemas.openxmlformats.org/officeDocument/2006/relationships/externalLink" Target="externalLinks/externalLink4.xml"/><Relationship Id="rId14" Type="http://schemas.openxmlformats.org/officeDocument/2006/relationships/externalLink" Target="externalLinks/externalLink5.xml"/><Relationship Id="rId15" Type="http://schemas.openxmlformats.org/officeDocument/2006/relationships/externalLink" Target="externalLinks/externalLink6.xml"/><Relationship Id="rId16" Type="http://schemas.openxmlformats.org/officeDocument/2006/relationships/externalLink" Target="externalLinks/externalLink7.xml"/><Relationship Id="rId17" Type="http://schemas.openxmlformats.org/officeDocument/2006/relationships/externalLink" Target="externalLinks/externalLink8.xml"/><Relationship Id="rId18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1.xml"/><Relationship Id="rId2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E:/Ariadna/Sum_pok.xls" TargetMode="External"/>
</Relationships>
</file>

<file path=xl/externalLinks/_rels/externalLink10.xml.rels><?xml version="1.0" encoding="UTF-8"?>
<Relationships xmlns="http://schemas.openxmlformats.org/package/2006/relationships"><Relationship Id="rId1" Type="http://schemas.openxmlformats.org/officeDocument/2006/relationships/externalLinkPath" Target="/R:/DOCUME~1/SINKEV~1/LOCALS~1/Temp/Rar$DI00.781/Dept/FinPlan-Economy/Planning%20System%20Project/consolidation%20hq%20formatted.xls" TargetMode="External"/>
</Relationships>
</file>

<file path=xl/externalLinks/_rels/externalLink11.xml.rels><?xml version="1.0" encoding="UTF-8"?>
<Relationships xmlns="http://schemas.openxmlformats.org/package/2006/relationships"><Relationship Id="rId1" Type="http://schemas.openxmlformats.org/officeDocument/2006/relationships/externalLinkPath" Target="/S:/Dept/FinPlan-Economy/Planning%20System%20Project/consolidation%20hq%20formatted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/R:/&#1052;&#1086;&#1080;%20&#1076;&#1086;&#1082;&#1091;&#1084;&#1077;&#1085;&#1090;&#1099;/Plan-2006_kons_rabota/Dept/FinPlan-Economy/Planning%20System%20Project/consolidation%20hq%20formatted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/R:/DOCUME~1/Chirich/LOCALS~1/Temp/DOCUME~1/VOYTOV~1/LOCALS~1/Temp/Rar$DI00.867/Planning%20System%20Project/consolidation%20hq%20formatted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/R:/&#1052;&#1086;&#1080;%20&#1076;&#1086;&#1082;&#1091;&#1084;&#1077;&#1085;&#1090;&#1099;/Plan-2006_kons_rabota/Dept/Plan/Exchange/_________________________Plan_ZP/!_&#1055;&#1077;&#1095;&#1072;&#1090;&#1100;/&#1052;&#1058;&#1056;%20&#1074;&#1089;&#1077;%20-%205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/R:/Dept/Plan/Exchange/!_Plan-2006/&#1042;&#1040;&#1058;%20&#1048;&#1074;&#1072;&#1085;&#1086;%20&#1092;&#1088;&#1072;&#1085;&#1082;&#1080;&#1074;&#1089;&#1100;&#1082;&#1075;&#1072;&#1079;/Dodatok1%20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/R:/DOCUME~1/Chirich/LOCALS~1/Temp/Dept/Plan/Exchange/_________________________Plan_ZP/!_&#1055;&#1077;&#1095;&#1072;&#1090;&#1100;/&#1052;&#1058;&#1056;%20&#1074;&#1089;&#1077;%202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/R:/Dept/Plan/Exchange/!_Plan-2006/VAT%20Sevastop/Dept/Plan/Exchange/_________________________Plan_ZP/!_&#1055;&#1077;&#1095;&#1072;&#1090;&#1100;/&#1052;&#1058;&#1056;%20&#1074;&#1089;&#1077;%202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/R:/Dept/Plan/Exchange/_________________________Plan_ZP/!_&#1055;&#1077;&#1095;&#1072;&#1090;&#1100;/&#1052;&#1058;&#1056;%20&#1074;&#1089;&#1077;%202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/R:/DOCUME~1/Chirich/LOCALS~1/Temp/Rar$DI00.938/Dept/Plan/Exchange/!_Plan-2006/&#1042;&#1040;&#1058;%20&#1048;&#1074;&#1072;&#1085;&#1086;%20&#1092;&#1088;&#1072;&#1085;&#1082;&#1080;&#1074;&#1089;&#1100;&#1082;&#1075;&#1072;&#1079;/Dodatok1%20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L164"/>
  <sheetViews>
    <sheetView windowProtection="false" showFormulas="false" showGridLines="true" showRowColHeaders="true" showZeros="true" rightToLeft="false" tabSelected="true" showOutlineSymbols="true" defaultGridColor="true" view="normal" topLeftCell="A82" colorId="64" zoomScale="55" zoomScaleNormal="55" zoomScalePageLayoutView="100" workbookViewId="0">
      <selection pane="topLeft" activeCell="C112" activeCellId="0" sqref="C112"/>
    </sheetView>
  </sheetViews>
  <sheetFormatPr defaultRowHeight="18.75"/>
  <cols>
    <col collapsed="false" hidden="false" max="1" min="1" style="1" width="86.0357142857143"/>
    <col collapsed="false" hidden="false" max="2" min="2" style="2" width="17.1071428571429"/>
    <col collapsed="false" hidden="false" max="6" min="3" style="2" width="30.6632653061224"/>
    <col collapsed="false" hidden="false" max="7" min="7" style="2" width="25.6683673469388"/>
    <col collapsed="false" hidden="false" max="8" min="8" style="2" width="21.6683673469388"/>
    <col collapsed="false" hidden="false" max="9" min="9" style="1" width="9.96938775510204"/>
    <col collapsed="false" hidden="false" max="10" min="10" style="1" width="9.54081632653061"/>
    <col collapsed="false" hidden="false" max="257" min="11" style="1" width="9.11734693877551"/>
    <col collapsed="false" hidden="false" max="1025" min="258" style="0" width="9.11734693877551"/>
  </cols>
  <sheetData>
    <row r="1" s="1" customFormat="true" ht="18.75" hidden="false" customHeight="true" outlineLevel="0" collapsed="false">
      <c r="B1" s="3"/>
      <c r="C1" s="3"/>
      <c r="D1" s="3"/>
      <c r="F1" s="4" t="s">
        <v>0</v>
      </c>
      <c r="G1" s="4"/>
      <c r="H1" s="4"/>
      <c r="I1" s="5"/>
      <c r="J1" s="5"/>
      <c r="K1" s="5"/>
      <c r="L1" s="5"/>
    </row>
    <row r="2" customFormat="false" ht="18.75" hidden="false" customHeight="true" outlineLevel="0" collapsed="false">
      <c r="A2" s="6"/>
      <c r="E2" s="1"/>
      <c r="F2" s="4" t="s">
        <v>1</v>
      </c>
      <c r="G2" s="4"/>
      <c r="H2" s="4"/>
      <c r="I2" s="5"/>
      <c r="J2" s="5"/>
      <c r="K2" s="5"/>
      <c r="L2" s="5"/>
    </row>
    <row r="3" customFormat="false" ht="18.75" hidden="false" customHeight="true" outlineLevel="0" collapsed="false">
      <c r="A3" s="2"/>
      <c r="E3" s="4"/>
      <c r="F3" s="4" t="s">
        <v>2</v>
      </c>
      <c r="G3" s="4"/>
      <c r="H3" s="4"/>
      <c r="I3" s="5"/>
      <c r="J3" s="5"/>
      <c r="K3" s="5"/>
      <c r="L3" s="5"/>
    </row>
    <row r="4" customFormat="false" ht="18.75" hidden="false" customHeight="true" outlineLevel="0" collapsed="false">
      <c r="A4" s="2"/>
      <c r="E4" s="4"/>
      <c r="F4" s="4" t="s">
        <v>3</v>
      </c>
      <c r="G4" s="4"/>
      <c r="H4" s="4"/>
      <c r="I4" s="5"/>
      <c r="J4" s="5"/>
      <c r="K4" s="5"/>
      <c r="L4" s="5"/>
    </row>
    <row r="5" customFormat="false" ht="18.75" hidden="false" customHeight="true" outlineLevel="0" collapsed="false">
      <c r="A5" s="2"/>
      <c r="E5" s="4"/>
      <c r="F5" s="7" t="s">
        <v>4</v>
      </c>
      <c r="G5" s="4"/>
      <c r="H5" s="4"/>
      <c r="I5" s="5"/>
      <c r="J5" s="5"/>
      <c r="K5" s="5"/>
      <c r="L5" s="5"/>
    </row>
    <row r="6" customFormat="false" ht="18.75" hidden="false" customHeight="true" outlineLevel="0" collapsed="false">
      <c r="A6" s="2"/>
      <c r="E6" s="4"/>
      <c r="F6" s="4"/>
      <c r="G6" s="4"/>
      <c r="H6" s="4"/>
      <c r="I6" s="5"/>
      <c r="J6" s="5"/>
      <c r="K6" s="5"/>
      <c r="L6" s="5"/>
    </row>
    <row r="7" customFormat="false" ht="18.75" hidden="false" customHeight="true" outlineLevel="0" collapsed="false">
      <c r="A7" s="2"/>
      <c r="E7" s="4"/>
      <c r="F7" s="4"/>
      <c r="G7" s="4"/>
      <c r="H7" s="4"/>
      <c r="I7" s="5"/>
      <c r="J7" s="5"/>
      <c r="K7" s="5"/>
      <c r="L7" s="5"/>
    </row>
    <row r="8" customFormat="false" ht="18.75" hidden="false" customHeight="false" outlineLevel="0" collapsed="false">
      <c r="B8" s="8"/>
      <c r="C8" s="8"/>
      <c r="D8" s="8"/>
      <c r="F8" s="7"/>
    </row>
    <row r="9" s="1" customFormat="true" ht="19.5" hidden="false" customHeight="true" outlineLevel="0" collapsed="false">
      <c r="A9" s="4"/>
    </row>
    <row r="10" customFormat="false" ht="19.5" hidden="false" customHeight="true" outlineLevel="0" collapsed="false">
      <c r="A10" s="9" t="s">
        <v>5</v>
      </c>
      <c r="B10" s="9"/>
      <c r="C10" s="9"/>
      <c r="D10" s="9"/>
      <c r="E10" s="9"/>
      <c r="F10" s="9"/>
      <c r="G10" s="9"/>
      <c r="H10" s="9"/>
    </row>
    <row r="11" customFormat="false" ht="18.75" hidden="false" customHeight="false" outlineLevel="0" collapsed="false">
      <c r="A11" s="9" t="s">
        <v>6</v>
      </c>
      <c r="B11" s="9"/>
      <c r="C11" s="9"/>
      <c r="D11" s="9"/>
      <c r="E11" s="9"/>
      <c r="F11" s="9"/>
      <c r="G11" s="9"/>
      <c r="H11" s="9"/>
    </row>
    <row r="12" customFormat="false" ht="18.75" hidden="false" customHeight="false" outlineLevel="0" collapsed="false">
      <c r="A12" s="9" t="s">
        <v>7</v>
      </c>
      <c r="B12" s="9"/>
      <c r="C12" s="9"/>
      <c r="D12" s="9"/>
      <c r="E12" s="9"/>
      <c r="F12" s="9"/>
      <c r="G12" s="9"/>
      <c r="H12" s="9"/>
    </row>
    <row r="13" customFormat="false" ht="19.35" hidden="false" customHeight="false" outlineLevel="0" collapsed="false">
      <c r="A13" s="2"/>
    </row>
    <row r="14" customFormat="false" ht="9" hidden="false" customHeight="true" outlineLevel="0" collapsed="false">
      <c r="A14" s="9"/>
      <c r="B14" s="9"/>
      <c r="C14" s="9"/>
      <c r="D14" s="9"/>
      <c r="E14" s="9"/>
      <c r="F14" s="9"/>
      <c r="G14" s="9"/>
      <c r="H14" s="9"/>
    </row>
    <row r="15" customFormat="false" ht="18.75" hidden="false" customHeight="false" outlineLevel="0" collapsed="false">
      <c r="A15" s="9" t="s">
        <v>8</v>
      </c>
      <c r="B15" s="9"/>
      <c r="C15" s="9"/>
      <c r="D15" s="9"/>
      <c r="E15" s="9"/>
      <c r="F15" s="9"/>
      <c r="G15" s="9"/>
      <c r="H15" s="9"/>
    </row>
    <row r="16" customFormat="false" ht="12" hidden="false" customHeight="true" outlineLevel="0" collapsed="false">
      <c r="B16" s="10"/>
      <c r="C16" s="10"/>
      <c r="D16" s="10"/>
      <c r="E16" s="10"/>
      <c r="F16" s="10"/>
      <c r="G16" s="10"/>
      <c r="H16" s="10"/>
    </row>
    <row r="17" customFormat="false" ht="43.5" hidden="false" customHeight="true" outlineLevel="0" collapsed="false">
      <c r="A17" s="11" t="s">
        <v>9</v>
      </c>
      <c r="B17" s="12" t="s">
        <v>10</v>
      </c>
      <c r="C17" s="12" t="s">
        <v>11</v>
      </c>
      <c r="D17" s="12"/>
      <c r="E17" s="13" t="s">
        <v>12</v>
      </c>
      <c r="F17" s="13"/>
      <c r="G17" s="13"/>
      <c r="H17" s="13"/>
    </row>
    <row r="18" customFormat="false" ht="44.25" hidden="false" customHeight="true" outlineLevel="0" collapsed="false">
      <c r="A18" s="11"/>
      <c r="B18" s="12"/>
      <c r="C18" s="12" t="s">
        <v>13</v>
      </c>
      <c r="D18" s="12" t="s">
        <v>14</v>
      </c>
      <c r="E18" s="14" t="s">
        <v>15</v>
      </c>
      <c r="F18" s="15" t="s">
        <v>16</v>
      </c>
      <c r="G18" s="16" t="s">
        <v>17</v>
      </c>
      <c r="H18" s="16" t="s">
        <v>18</v>
      </c>
    </row>
    <row r="19" customFormat="false" ht="19.5" hidden="false" customHeight="false" outlineLevel="0" collapsed="false">
      <c r="A19" s="11" t="n">
        <v>1</v>
      </c>
      <c r="B19" s="12" t="n">
        <v>2</v>
      </c>
      <c r="C19" s="11" t="n">
        <v>3</v>
      </c>
      <c r="D19" s="12" t="n">
        <v>4</v>
      </c>
      <c r="E19" s="11" t="n">
        <v>5</v>
      </c>
      <c r="F19" s="12" t="n">
        <v>6</v>
      </c>
      <c r="G19" s="11" t="n">
        <v>7</v>
      </c>
      <c r="H19" s="12" t="n">
        <v>8</v>
      </c>
    </row>
    <row r="20" s="18" customFormat="true" ht="19.5" hidden="false" customHeight="true" outlineLevel="0" collapsed="false">
      <c r="A20" s="17" t="s">
        <v>19</v>
      </c>
      <c r="B20" s="17"/>
      <c r="C20" s="17"/>
      <c r="D20" s="17"/>
      <c r="E20" s="17"/>
      <c r="F20" s="17"/>
      <c r="G20" s="17"/>
      <c r="H20" s="17"/>
    </row>
    <row r="21" s="18" customFormat="true" ht="20.1" hidden="false" customHeight="true" outlineLevel="0" collapsed="false">
      <c r="A21" s="19" t="s">
        <v>20</v>
      </c>
      <c r="B21" s="20" t="n">
        <v>1000</v>
      </c>
      <c r="C21" s="21" t="n">
        <f aca="false">'I. Фін результат'!C7</f>
        <v>151795.8</v>
      </c>
      <c r="D21" s="21" t="n">
        <f aca="false">'I. Фін результат'!D7</f>
        <v>200719.6</v>
      </c>
      <c r="E21" s="21" t="n">
        <f aca="false">'I. Фін результат'!E7</f>
        <v>61522.6</v>
      </c>
      <c r="F21" s="21" t="n">
        <f aca="false">'I. Фін результат'!F7</f>
        <v>65776.6</v>
      </c>
      <c r="G21" s="21" t="n">
        <f aca="false">F21-E21</f>
        <v>4254.00000000001</v>
      </c>
      <c r="H21" s="22" t="n">
        <f aca="false">(F21/E21)*100</f>
        <v>106.91453222068</v>
      </c>
    </row>
    <row r="22" s="18" customFormat="true" ht="20.1" hidden="false" customHeight="true" outlineLevel="0" collapsed="false">
      <c r="A22" s="23" t="s">
        <v>21</v>
      </c>
      <c r="B22" s="12" t="n">
        <v>1010</v>
      </c>
      <c r="C22" s="24" t="n">
        <f aca="false">'I. Фін результат'!C8</f>
        <v>-200561.2</v>
      </c>
      <c r="D22" s="24" t="n">
        <f aca="false">'I. Фін результат'!D8</f>
        <v>-276655</v>
      </c>
      <c r="E22" s="24" t="n">
        <f aca="false">'I. Фін результат'!E8</f>
        <v>-84554.3</v>
      </c>
      <c r="F22" s="24" t="n">
        <f aca="false">'I. Фін результат'!F8</f>
        <v>-91619.4</v>
      </c>
      <c r="G22" s="24" t="n">
        <f aca="false">F22-E22</f>
        <v>-7065.10000000001</v>
      </c>
      <c r="H22" s="25" t="n">
        <f aca="false">(F22/E22)*100</f>
        <v>108.355695689042</v>
      </c>
    </row>
    <row r="23" s="18" customFormat="true" ht="20.1" hidden="false" customHeight="true" outlineLevel="0" collapsed="false">
      <c r="A23" s="26" t="s">
        <v>22</v>
      </c>
      <c r="B23" s="27" t="n">
        <v>1020</v>
      </c>
      <c r="C23" s="28" t="n">
        <f aca="false">SUM(C21:C22)</f>
        <v>-48765.4</v>
      </c>
      <c r="D23" s="28" t="n">
        <f aca="false">SUM(D21:D22)</f>
        <v>-75935.4</v>
      </c>
      <c r="E23" s="28" t="n">
        <f aca="false">SUM(E21:E22)</f>
        <v>-23031.7</v>
      </c>
      <c r="F23" s="28" t="n">
        <f aca="false">SUM(F21:F22)</f>
        <v>-25842.8</v>
      </c>
      <c r="G23" s="21" t="n">
        <f aca="false">F23-E23</f>
        <v>-2811.1</v>
      </c>
      <c r="H23" s="22" t="n">
        <f aca="false">(F23/E23)*100</f>
        <v>112.205351754321</v>
      </c>
    </row>
    <row r="24" s="18" customFormat="true" ht="20.1" hidden="false" customHeight="true" outlineLevel="0" collapsed="false">
      <c r="A24" s="23" t="s">
        <v>23</v>
      </c>
      <c r="B24" s="11" t="n">
        <v>1030</v>
      </c>
      <c r="C24" s="24" t="n">
        <f aca="false">'I. Фін результат'!C18</f>
        <v>-25992.3</v>
      </c>
      <c r="D24" s="24" t="n">
        <f aca="false">'I. Фін результат'!D18</f>
        <v>-35187.6</v>
      </c>
      <c r="E24" s="24" t="n">
        <f aca="false">'I. Фін результат'!E18</f>
        <v>-11794.5</v>
      </c>
      <c r="F24" s="24" t="n">
        <f aca="false">'I. Фін результат'!F18</f>
        <v>-11393.4</v>
      </c>
      <c r="G24" s="24" t="n">
        <f aca="false">F24-E24</f>
        <v>401.100000000002</v>
      </c>
      <c r="H24" s="25" t="n">
        <f aca="false">(F24/E24)*100</f>
        <v>96.5992623680529</v>
      </c>
    </row>
    <row r="25" s="18" customFormat="true" ht="20.1" hidden="false" customHeight="true" outlineLevel="0" collapsed="false">
      <c r="A25" s="29" t="s">
        <v>24</v>
      </c>
      <c r="B25" s="11" t="n">
        <v>1031</v>
      </c>
      <c r="C25" s="24" t="n">
        <f aca="false">'I. Фін результат'!C19</f>
        <v>-920</v>
      </c>
      <c r="D25" s="24" t="n">
        <f aca="false">'I. Фін результат'!D19</f>
        <v>-1006</v>
      </c>
      <c r="E25" s="24" t="n">
        <f aca="false">'I. Фін результат'!E19</f>
        <v>-279</v>
      </c>
      <c r="F25" s="24" t="n">
        <f aca="false">'I. Фін результат'!F19</f>
        <v>-407</v>
      </c>
      <c r="G25" s="24" t="n">
        <f aca="false">F25-E25</f>
        <v>-128</v>
      </c>
      <c r="H25" s="25" t="n">
        <f aca="false">(F25/E25)*100</f>
        <v>145.878136200717</v>
      </c>
    </row>
    <row r="26" s="18" customFormat="true" ht="20.1" hidden="false" customHeight="true" outlineLevel="0" collapsed="false">
      <c r="A26" s="29" t="s">
        <v>25</v>
      </c>
      <c r="B26" s="11" t="n">
        <v>1032</v>
      </c>
      <c r="C26" s="24" t="n">
        <f aca="false">'I. Фін результат'!C20</f>
        <v>-9</v>
      </c>
      <c r="D26" s="24" t="n">
        <f aca="false">'I. Фін результат'!D20</f>
        <v>-9</v>
      </c>
      <c r="E26" s="24" t="n">
        <f aca="false">'I. Фін результат'!E20</f>
        <v>-3</v>
      </c>
      <c r="F26" s="24" t="n">
        <f aca="false">'I. Фін результат'!F20</f>
        <v>-3</v>
      </c>
      <c r="G26" s="24" t="n">
        <f aca="false">F26-E26</f>
        <v>0</v>
      </c>
      <c r="H26" s="25" t="n">
        <f aca="false">(F26/E26)*100</f>
        <v>100</v>
      </c>
    </row>
    <row r="27" s="18" customFormat="true" ht="20.1" hidden="false" customHeight="true" outlineLevel="0" collapsed="false">
      <c r="A27" s="29" t="s">
        <v>26</v>
      </c>
      <c r="B27" s="11" t="n">
        <v>1033</v>
      </c>
      <c r="C27" s="24" t="n">
        <f aca="false">'I. Фін результат'!C21</f>
        <v>-77</v>
      </c>
      <c r="D27" s="24" t="str">
        <f aca="false">'I. Фін результат'!D21</f>
        <v>(    )</v>
      </c>
      <c r="E27" s="24" t="str">
        <f aca="false">'I. Фін результат'!E21</f>
        <v>(    )</v>
      </c>
      <c r="F27" s="24" t="str">
        <f aca="false">'I. Фін результат'!F21</f>
        <v>(    )</v>
      </c>
      <c r="G27" s="24" t="e">
        <f aca="false">F27-E27</f>
        <v>#VALUE!</v>
      </c>
      <c r="H27" s="25" t="e">
        <f aca="false">(F27/E27)*100</f>
        <v>#VALUE!</v>
      </c>
    </row>
    <row r="28" s="18" customFormat="true" ht="20.1" hidden="false" customHeight="true" outlineLevel="0" collapsed="false">
      <c r="A28" s="29" t="s">
        <v>27</v>
      </c>
      <c r="B28" s="11" t="n">
        <v>1034</v>
      </c>
      <c r="C28" s="24" t="n">
        <f aca="false">'I. Фін результат'!C22</f>
        <v>-2</v>
      </c>
      <c r="D28" s="24" t="n">
        <f aca="false">'I. Фін результат'!D22</f>
        <v>-3</v>
      </c>
      <c r="E28" s="24" t="n">
        <f aca="false">'I. Фін результат'!E22</f>
        <v>-1</v>
      </c>
      <c r="F28" s="24" t="n">
        <f aca="false">'I. Фін результат'!F22</f>
        <v>-1</v>
      </c>
      <c r="G28" s="24" t="n">
        <f aca="false">F28-E28</f>
        <v>0</v>
      </c>
      <c r="H28" s="25" t="n">
        <f aca="false">(F28/E28)*100</f>
        <v>100</v>
      </c>
    </row>
    <row r="29" s="18" customFormat="true" ht="20.1" hidden="false" customHeight="true" outlineLevel="0" collapsed="false">
      <c r="A29" s="29" t="s">
        <v>28</v>
      </c>
      <c r="B29" s="11" t="n">
        <v>1035</v>
      </c>
      <c r="C29" s="24" t="n">
        <f aca="false">'I. Фін результат'!C23</f>
        <v>-69</v>
      </c>
      <c r="D29" s="24" t="str">
        <f aca="false">'I. Фін результат'!D23</f>
        <v>(    )</v>
      </c>
      <c r="E29" s="24" t="n">
        <f aca="false">'I. Фін результат'!E23</f>
        <v>-2</v>
      </c>
      <c r="F29" s="24" t="str">
        <f aca="false">'I. Фін результат'!F23</f>
        <v>(    )</v>
      </c>
      <c r="G29" s="24" t="e">
        <f aca="false">F29-E29</f>
        <v>#VALUE!</v>
      </c>
      <c r="H29" s="25" t="e">
        <f aca="false">(F29/E29)*100</f>
        <v>#VALUE!</v>
      </c>
    </row>
    <row r="30" s="18" customFormat="true" ht="20.1" hidden="false" customHeight="true" outlineLevel="0" collapsed="false">
      <c r="A30" s="23" t="s">
        <v>29</v>
      </c>
      <c r="B30" s="12" t="n">
        <v>1060</v>
      </c>
      <c r="C30" s="24" t="n">
        <f aca="false">'I. Фін результат'!C41</f>
        <v>-242.9</v>
      </c>
      <c r="D30" s="24" t="n">
        <f aca="false">'I. Фін результат'!D41</f>
        <v>-432.8</v>
      </c>
      <c r="E30" s="24" t="n">
        <f aca="false">'I. Фін результат'!E41</f>
        <v>-87</v>
      </c>
      <c r="F30" s="24" t="n">
        <f aca="false">'I. Фін результат'!F41</f>
        <v>-94.7</v>
      </c>
      <c r="G30" s="24" t="n">
        <f aca="false">F30-E30</f>
        <v>-7.7</v>
      </c>
      <c r="H30" s="25" t="n">
        <f aca="false">(F30/E30)*100</f>
        <v>108.850574712644</v>
      </c>
    </row>
    <row r="31" s="18" customFormat="true" ht="20.1" hidden="false" customHeight="true" outlineLevel="0" collapsed="false">
      <c r="A31" s="29" t="s">
        <v>30</v>
      </c>
      <c r="B31" s="11" t="n">
        <v>1070</v>
      </c>
      <c r="C31" s="24" t="n">
        <f aca="false">'I. Фін результат'!C49</f>
        <v>98284.7</v>
      </c>
      <c r="D31" s="24" t="n">
        <f aca="false">'I. Фін результат'!D49</f>
        <v>113321.6</v>
      </c>
      <c r="E31" s="24" t="n">
        <f aca="false">'I. Фін результат'!E49</f>
        <v>31858.3</v>
      </c>
      <c r="F31" s="24" t="n">
        <f aca="false">'I. Фін результат'!F49</f>
        <v>43760.9</v>
      </c>
      <c r="G31" s="24" t="n">
        <f aca="false">F31-E31</f>
        <v>11902.6</v>
      </c>
      <c r="H31" s="25" t="n">
        <f aca="false">(F31/E31)*100</f>
        <v>137.361064463578</v>
      </c>
    </row>
    <row r="32" s="18" customFormat="true" ht="20.1" hidden="false" customHeight="true" outlineLevel="0" collapsed="false">
      <c r="A32" s="29" t="s">
        <v>31</v>
      </c>
      <c r="B32" s="11" t="n">
        <v>1071</v>
      </c>
      <c r="C32" s="24" t="n">
        <f aca="false">'I. Фін результат'!C50</f>
        <v>0</v>
      </c>
      <c r="D32" s="24" t="n">
        <f aca="false">'I. Фін результат'!D50</f>
        <v>8</v>
      </c>
      <c r="E32" s="24" t="n">
        <f aca="false">'I. Фін результат'!E50</f>
        <v>0</v>
      </c>
      <c r="F32" s="24" t="n">
        <f aca="false">'I. Фін результат'!F50</f>
        <v>8</v>
      </c>
      <c r="G32" s="24" t="n">
        <f aca="false">F32-E32</f>
        <v>8</v>
      </c>
      <c r="H32" s="25" t="e">
        <f aca="false">(F32/E32)*100</f>
        <v>#DIV/0!</v>
      </c>
    </row>
    <row r="33" s="18" customFormat="true" ht="20.1" hidden="false" customHeight="true" outlineLevel="0" collapsed="false">
      <c r="A33" s="29" t="s">
        <v>32</v>
      </c>
      <c r="B33" s="11" t="n">
        <v>1072</v>
      </c>
      <c r="C33" s="24" t="n">
        <f aca="false">'I. Фін результат'!C51</f>
        <v>7</v>
      </c>
      <c r="D33" s="24" t="n">
        <f aca="false">'I. Фін результат'!D51</f>
        <v>0</v>
      </c>
      <c r="E33" s="24" t="n">
        <f aca="false">'I. Фін результат'!E51</f>
        <v>0</v>
      </c>
      <c r="F33" s="24" t="n">
        <f aca="false">'I. Фін результат'!F51</f>
        <v>0</v>
      </c>
      <c r="G33" s="24" t="n">
        <f aca="false">F33-E33</f>
        <v>0</v>
      </c>
      <c r="H33" s="25" t="e">
        <f aca="false">(F33/E33)*100</f>
        <v>#DIV/0!</v>
      </c>
    </row>
    <row r="34" s="18" customFormat="true" ht="20.1" hidden="false" customHeight="true" outlineLevel="0" collapsed="false">
      <c r="A34" s="30" t="s">
        <v>33</v>
      </c>
      <c r="B34" s="11" t="n">
        <v>1080</v>
      </c>
      <c r="C34" s="24" t="n">
        <f aca="false">'I. Фін результат'!C53</f>
        <v>-4114.3</v>
      </c>
      <c r="D34" s="24" t="n">
        <f aca="false">'I. Фін результат'!D53</f>
        <v>-6052.1</v>
      </c>
      <c r="E34" s="24" t="n">
        <f aca="false">'I. Фін результат'!E53</f>
        <v>-1376.5</v>
      </c>
      <c r="F34" s="24" t="n">
        <f aca="false">'I. Фін результат'!F53</f>
        <v>-1889.9</v>
      </c>
      <c r="G34" s="24" t="n">
        <f aca="false">F34-E34</f>
        <v>-513.4</v>
      </c>
      <c r="H34" s="25" t="n">
        <f aca="false">(F34/E34)*100</f>
        <v>137.297493643298</v>
      </c>
    </row>
    <row r="35" s="18" customFormat="true" ht="20.1" hidden="false" customHeight="true" outlineLevel="0" collapsed="false">
      <c r="A35" s="29" t="s">
        <v>31</v>
      </c>
      <c r="B35" s="11" t="n">
        <v>1081</v>
      </c>
      <c r="C35" s="24" t="str">
        <f aca="false">'I. Фін результат'!C54</f>
        <v>(    )</v>
      </c>
      <c r="D35" s="24" t="str">
        <f aca="false">'I. Фін результат'!D54</f>
        <v>(    )</v>
      </c>
      <c r="E35" s="24" t="str">
        <f aca="false">'I. Фін результат'!E54</f>
        <v>(    )</v>
      </c>
      <c r="F35" s="24" t="str">
        <f aca="false">'I. Фін результат'!F54</f>
        <v>(    )</v>
      </c>
      <c r="G35" s="24" t="e">
        <f aca="false">F35-E35</f>
        <v>#VALUE!</v>
      </c>
      <c r="H35" s="25" t="e">
        <f aca="false">(F35/E35)*100</f>
        <v>#VALUE!</v>
      </c>
    </row>
    <row r="36" s="18" customFormat="true" ht="20.1" hidden="false" customHeight="true" outlineLevel="0" collapsed="false">
      <c r="A36" s="29" t="s">
        <v>34</v>
      </c>
      <c r="B36" s="11" t="n">
        <v>1082</v>
      </c>
      <c r="C36" s="24" t="str">
        <f aca="false">'I. Фін результат'!C55</f>
        <v>(    )</v>
      </c>
      <c r="D36" s="24" t="str">
        <f aca="false">'I. Фін результат'!D55</f>
        <v>(    )</v>
      </c>
      <c r="E36" s="24" t="str">
        <f aca="false">'I. Фін результат'!E55</f>
        <v>(    )</v>
      </c>
      <c r="F36" s="24" t="str">
        <f aca="false">'I. Фін результат'!F55</f>
        <v>(    )</v>
      </c>
      <c r="G36" s="24" t="e">
        <f aca="false">F36-E36</f>
        <v>#VALUE!</v>
      </c>
      <c r="H36" s="25" t="e">
        <f aca="false">(F36/E36)*100</f>
        <v>#VALUE!</v>
      </c>
    </row>
    <row r="37" s="18" customFormat="true" ht="20.1" hidden="false" customHeight="true" outlineLevel="0" collapsed="false">
      <c r="A37" s="31" t="s">
        <v>35</v>
      </c>
      <c r="B37" s="27" t="n">
        <v>1100</v>
      </c>
      <c r="C37" s="28" t="n">
        <f aca="false">SUM(C23,C24,C30,C31,C34)</f>
        <v>19169.8</v>
      </c>
      <c r="D37" s="28" t="n">
        <f aca="false">SUM(D23,D24,D30,D31,D34)</f>
        <v>-4286.29999999998</v>
      </c>
      <c r="E37" s="28" t="n">
        <f aca="false">SUM(E23,E24,E30,E31,E34)</f>
        <v>-4431.39999999999</v>
      </c>
      <c r="F37" s="28" t="n">
        <f aca="false">SUM(F23,F24,F30,F31,F34)</f>
        <v>4540.10000000002</v>
      </c>
      <c r="G37" s="21" t="n">
        <f aca="false">F37-E37</f>
        <v>8971.50000000001</v>
      </c>
      <c r="H37" s="22" t="n">
        <f aca="false">(F37/E37)*100</f>
        <v>-102.452949406509</v>
      </c>
    </row>
    <row r="38" s="18" customFormat="true" ht="20.1" hidden="false" customHeight="true" outlineLevel="0" collapsed="false">
      <c r="A38" s="32" t="s">
        <v>36</v>
      </c>
      <c r="B38" s="27" t="n">
        <v>1310</v>
      </c>
      <c r="C38" s="33" t="e">
        <f aca="false">'I. Фін результат'!C89</f>
        <v>#VALUE!</v>
      </c>
      <c r="D38" s="33" t="e">
        <f aca="false">'I. Фін результат'!D89</f>
        <v>#VALUE!</v>
      </c>
      <c r="E38" s="33" t="e">
        <f aca="false">'I. Фін результат'!E89</f>
        <v>#VALUE!</v>
      </c>
      <c r="F38" s="33" t="e">
        <f aca="false">'I. Фін результат'!F89</f>
        <v>#VALUE!</v>
      </c>
      <c r="G38" s="21" t="e">
        <f aca="false">F38-E38</f>
        <v>#VALUE!</v>
      </c>
      <c r="H38" s="22" t="e">
        <f aca="false">(F38/E38)*100</f>
        <v>#VALUE!</v>
      </c>
    </row>
    <row r="39" s="18" customFormat="true" ht="18.75" hidden="false" customHeight="false" outlineLevel="0" collapsed="false">
      <c r="A39" s="32" t="s">
        <v>37</v>
      </c>
      <c r="B39" s="27" t="n">
        <v>5010</v>
      </c>
      <c r="C39" s="34" t="e">
        <f aca="false">(C38/C21)*100</f>
        <v>#VALUE!</v>
      </c>
      <c r="D39" s="34" t="e">
        <f aca="false">(D38/D21)*100</f>
        <v>#VALUE!</v>
      </c>
      <c r="E39" s="34" t="e">
        <f aca="false">(E38/E21)*100</f>
        <v>#VALUE!</v>
      </c>
      <c r="F39" s="34" t="e">
        <f aca="false">(F38/F21)*100</f>
        <v>#VALUE!</v>
      </c>
      <c r="G39" s="21" t="e">
        <f aca="false">F39-E39</f>
        <v>#VALUE!</v>
      </c>
      <c r="H39" s="22" t="e">
        <f aca="false">(F39/E39)*100</f>
        <v>#VALUE!</v>
      </c>
    </row>
    <row r="40" s="18" customFormat="true" ht="20.1" hidden="false" customHeight="true" outlineLevel="0" collapsed="false">
      <c r="A40" s="29" t="s">
        <v>38</v>
      </c>
      <c r="B40" s="11" t="n">
        <v>1110</v>
      </c>
      <c r="C40" s="24" t="n">
        <f aca="false">'I. Фін результат'!C61</f>
        <v>0</v>
      </c>
      <c r="D40" s="24" t="n">
        <f aca="false">'I. Фін результат'!D61</f>
        <v>0</v>
      </c>
      <c r="E40" s="24" t="n">
        <f aca="false">'I. Фін результат'!E61</f>
        <v>0</v>
      </c>
      <c r="F40" s="24" t="n">
        <f aca="false">'I. Фін результат'!F61</f>
        <v>0</v>
      </c>
      <c r="G40" s="24" t="n">
        <f aca="false">F40-E40</f>
        <v>0</v>
      </c>
      <c r="H40" s="25" t="e">
        <f aca="false">(F40/E40)*100</f>
        <v>#DIV/0!</v>
      </c>
    </row>
    <row r="41" s="18" customFormat="true" ht="18.75" hidden="false" customHeight="false" outlineLevel="0" collapsed="false">
      <c r="A41" s="29" t="s">
        <v>39</v>
      </c>
      <c r="B41" s="11" t="n">
        <v>1120</v>
      </c>
      <c r="C41" s="24" t="str">
        <f aca="false">'I. Фін результат'!C62</f>
        <v>(    )</v>
      </c>
      <c r="D41" s="24" t="str">
        <f aca="false">'I. Фін результат'!D62</f>
        <v>(    )</v>
      </c>
      <c r="E41" s="24" t="str">
        <f aca="false">'I. Фін результат'!E62</f>
        <v>(    )</v>
      </c>
      <c r="F41" s="24" t="str">
        <f aca="false">'I. Фін результат'!F62</f>
        <v>(    )</v>
      </c>
      <c r="G41" s="24" t="e">
        <f aca="false">F41-E41</f>
        <v>#VALUE!</v>
      </c>
      <c r="H41" s="25" t="e">
        <f aca="false">(F41/E41)*100</f>
        <v>#VALUE!</v>
      </c>
    </row>
    <row r="42" s="18" customFormat="true" ht="20.1" hidden="false" customHeight="true" outlineLevel="0" collapsed="false">
      <c r="A42" s="29" t="s">
        <v>40</v>
      </c>
      <c r="B42" s="11" t="n">
        <v>1130</v>
      </c>
      <c r="C42" s="24" t="n">
        <f aca="false">'I. Фін результат'!C63</f>
        <v>31</v>
      </c>
      <c r="D42" s="24" t="n">
        <f aca="false">'I. Фін результат'!D63</f>
        <v>330.6</v>
      </c>
      <c r="E42" s="24" t="n">
        <f aca="false">'I. Фін результат'!E63</f>
        <v>27</v>
      </c>
      <c r="F42" s="24" t="n">
        <f aca="false">'I. Фін результат'!F63</f>
        <v>86</v>
      </c>
      <c r="G42" s="24" t="n">
        <f aca="false">F42-E42</f>
        <v>59</v>
      </c>
      <c r="H42" s="25" t="n">
        <f aca="false">(F42/E42)*100</f>
        <v>318.518518518519</v>
      </c>
    </row>
    <row r="43" s="18" customFormat="true" ht="20.1" hidden="false" customHeight="true" outlineLevel="0" collapsed="false">
      <c r="A43" s="29" t="s">
        <v>41</v>
      </c>
      <c r="B43" s="11" t="n">
        <v>1140</v>
      </c>
      <c r="C43" s="24" t="n">
        <f aca="false">'I. Фін результат'!C64</f>
        <v>-269</v>
      </c>
      <c r="D43" s="24" t="n">
        <f aca="false">'I. Фін результат'!D64</f>
        <v>-1853.6</v>
      </c>
      <c r="E43" s="24" t="n">
        <f aca="false">'I. Фін результат'!E64</f>
        <v>-56</v>
      </c>
      <c r="F43" s="24" t="n">
        <f aca="false">'I. Фін результат'!F64</f>
        <v>-1549</v>
      </c>
      <c r="G43" s="24" t="n">
        <f aca="false">F43-E43</f>
        <v>-1493</v>
      </c>
      <c r="H43" s="25" t="n">
        <f aca="false">(F43/E43)*100</f>
        <v>2766.07142857143</v>
      </c>
    </row>
    <row r="44" s="18" customFormat="true" ht="20.1" hidden="false" customHeight="true" outlineLevel="0" collapsed="false">
      <c r="A44" s="29" t="s">
        <v>42</v>
      </c>
      <c r="B44" s="11" t="n">
        <v>1150</v>
      </c>
      <c r="C44" s="24" t="n">
        <f aca="false">'I. Фін результат'!C65</f>
        <v>4946</v>
      </c>
      <c r="D44" s="24" t="n">
        <f aca="false">'I. Фін результат'!D65</f>
        <v>7123</v>
      </c>
      <c r="E44" s="24" t="n">
        <f aca="false">'I. Фін результат'!E65</f>
        <v>1592</v>
      </c>
      <c r="F44" s="24" t="n">
        <f aca="false">'I. Фін результат'!F65</f>
        <v>2307</v>
      </c>
      <c r="G44" s="24" t="n">
        <f aca="false">F44-E44</f>
        <v>715</v>
      </c>
      <c r="H44" s="25" t="n">
        <f aca="false">(F44/E44)*100</f>
        <v>144.912060301508</v>
      </c>
    </row>
    <row r="45" s="18" customFormat="true" ht="20.1" hidden="false" customHeight="true" outlineLevel="0" collapsed="false">
      <c r="A45" s="29" t="s">
        <v>31</v>
      </c>
      <c r="B45" s="11" t="n">
        <v>1151</v>
      </c>
      <c r="C45" s="24" t="n">
        <f aca="false">'I. Фін результат'!C66</f>
        <v>0</v>
      </c>
      <c r="D45" s="24" t="n">
        <f aca="false">'I. Фін результат'!D66</f>
        <v>0</v>
      </c>
      <c r="E45" s="24" t="n">
        <f aca="false">'I. Фін результат'!E66</f>
        <v>0</v>
      </c>
      <c r="F45" s="24" t="n">
        <f aca="false">'I. Фін результат'!F66</f>
        <v>0</v>
      </c>
      <c r="G45" s="24" t="n">
        <f aca="false">F45-E45</f>
        <v>0</v>
      </c>
      <c r="H45" s="25" t="e">
        <f aca="false">(F45/E45)*100</f>
        <v>#DIV/0!</v>
      </c>
    </row>
    <row r="46" s="18" customFormat="true" ht="20.1" hidden="false" customHeight="true" outlineLevel="0" collapsed="false">
      <c r="A46" s="29" t="s">
        <v>43</v>
      </c>
      <c r="B46" s="11" t="n">
        <v>1160</v>
      </c>
      <c r="C46" s="24" t="n">
        <f aca="false">'I. Фін результат'!C68</f>
        <v>-421.2</v>
      </c>
      <c r="D46" s="24" t="n">
        <f aca="false">'I. Фін результат'!D68</f>
        <v>-1135.3</v>
      </c>
      <c r="E46" s="24" t="n">
        <f aca="false">'I. Фін результат'!E68</f>
        <v>-356</v>
      </c>
      <c r="F46" s="24" t="n">
        <f aca="false">'I. Фін результат'!F68</f>
        <v>-354</v>
      </c>
      <c r="G46" s="24" t="n">
        <f aca="false">F46-E46</f>
        <v>2</v>
      </c>
      <c r="H46" s="25" t="n">
        <f aca="false">(F46/E46)*100</f>
        <v>99.438202247191</v>
      </c>
    </row>
    <row r="47" s="18" customFormat="true" ht="20.1" hidden="false" customHeight="true" outlineLevel="0" collapsed="false">
      <c r="A47" s="29" t="s">
        <v>31</v>
      </c>
      <c r="B47" s="11" t="n">
        <v>1161</v>
      </c>
      <c r="C47" s="24" t="str">
        <f aca="false">'I. Фін результат'!C69</f>
        <v>(    )</v>
      </c>
      <c r="D47" s="24" t="str">
        <f aca="false">'I. Фін результат'!D69</f>
        <v>(    )</v>
      </c>
      <c r="E47" s="24" t="str">
        <f aca="false">'I. Фін результат'!E69</f>
        <v>(    )</v>
      </c>
      <c r="F47" s="24" t="str">
        <f aca="false">'I. Фін результат'!F69</f>
        <v>(    )</v>
      </c>
      <c r="G47" s="24" t="e">
        <f aca="false">F47-E47</f>
        <v>#VALUE!</v>
      </c>
      <c r="H47" s="25" t="e">
        <f aca="false">(F47/E47)*100</f>
        <v>#VALUE!</v>
      </c>
    </row>
    <row r="48" s="18" customFormat="true" ht="20.1" hidden="false" customHeight="true" outlineLevel="0" collapsed="false">
      <c r="A48" s="32" t="s">
        <v>44</v>
      </c>
      <c r="B48" s="35" t="n">
        <v>1170</v>
      </c>
      <c r="C48" s="28" t="n">
        <f aca="false">SUM(C37,C40:C44,C46)</f>
        <v>23456.6</v>
      </c>
      <c r="D48" s="28" t="n">
        <f aca="false">SUM(D37,D40:D44,D46)</f>
        <v>178.400000000017</v>
      </c>
      <c r="E48" s="28" t="n">
        <f aca="false">SUM(E37,E40:E44,E46)</f>
        <v>-3224.39999999999</v>
      </c>
      <c r="F48" s="28" t="n">
        <f aca="false">SUM(F37,F40:F44,F46)</f>
        <v>5030.10000000002</v>
      </c>
      <c r="G48" s="21" t="n">
        <f aca="false">F48-E48</f>
        <v>8254.50000000001</v>
      </c>
      <c r="H48" s="22" t="n">
        <f aca="false">(F48/E48)*100</f>
        <v>-156.001116486789</v>
      </c>
    </row>
    <row r="49" s="18" customFormat="true" ht="20.1" hidden="false" customHeight="true" outlineLevel="0" collapsed="false">
      <c r="A49" s="29" t="s">
        <v>45</v>
      </c>
      <c r="B49" s="12" t="n">
        <v>1180</v>
      </c>
      <c r="C49" s="24" t="n">
        <f aca="false">'I. Фін результат'!C72</f>
        <v>-19375</v>
      </c>
      <c r="D49" s="24" t="n">
        <f aca="false">'I. Фін результат'!D72</f>
        <v>-18040</v>
      </c>
      <c r="E49" s="24" t="n">
        <f aca="false">'I. Фін результат'!E72</f>
        <v>-62.5</v>
      </c>
      <c r="F49" s="24" t="n">
        <f aca="false">'I. Фін результат'!F72</f>
        <v>-6535</v>
      </c>
      <c r="G49" s="24" t="n">
        <f aca="false">F49-E49</f>
        <v>-6472.5</v>
      </c>
      <c r="H49" s="25" t="n">
        <f aca="false">(F49/E49)*100</f>
        <v>10456</v>
      </c>
    </row>
    <row r="50" s="18" customFormat="true" ht="20.1" hidden="false" customHeight="true" outlineLevel="0" collapsed="false">
      <c r="A50" s="29" t="s">
        <v>46</v>
      </c>
      <c r="B50" s="12" t="n">
        <v>1181</v>
      </c>
      <c r="C50" s="24" t="n">
        <f aca="false">'I. Фін результат'!C73</f>
        <v>0</v>
      </c>
      <c r="D50" s="24" t="n">
        <f aca="false">'I. Фін результат'!D73</f>
        <v>0</v>
      </c>
      <c r="E50" s="24" t="n">
        <f aca="false">'I. Фін результат'!E73</f>
        <v>0</v>
      </c>
      <c r="F50" s="24" t="n">
        <f aca="false">'I. Фін результат'!F73</f>
        <v>0</v>
      </c>
      <c r="G50" s="24" t="n">
        <f aca="false">F50-E50</f>
        <v>0</v>
      </c>
      <c r="H50" s="25" t="e">
        <f aca="false">(F50/E50)*100</f>
        <v>#DIV/0!</v>
      </c>
    </row>
    <row r="51" s="18" customFormat="true" ht="20.1" hidden="false" customHeight="true" outlineLevel="0" collapsed="false">
      <c r="A51" s="29" t="s">
        <v>47</v>
      </c>
      <c r="B51" s="11" t="n">
        <v>1190</v>
      </c>
      <c r="C51" s="24" t="n">
        <f aca="false">'I. Фін результат'!C74</f>
        <v>0</v>
      </c>
      <c r="D51" s="24" t="n">
        <f aca="false">'I. Фін результат'!D74</f>
        <v>0</v>
      </c>
      <c r="E51" s="24" t="n">
        <f aca="false">'I. Фін результат'!E74</f>
        <v>0</v>
      </c>
      <c r="F51" s="24" t="n">
        <f aca="false">'I. Фін результат'!F74</f>
        <v>0</v>
      </c>
      <c r="G51" s="24" t="n">
        <f aca="false">F51-E51</f>
        <v>0</v>
      </c>
      <c r="H51" s="25" t="e">
        <f aca="false">(F51/E51)*100</f>
        <v>#DIV/0!</v>
      </c>
    </row>
    <row r="52" s="18" customFormat="true" ht="20.1" hidden="false" customHeight="true" outlineLevel="0" collapsed="false">
      <c r="A52" s="29" t="s">
        <v>48</v>
      </c>
      <c r="B52" s="11" t="n">
        <v>1191</v>
      </c>
      <c r="C52" s="24" t="str">
        <f aca="false">'I. Фін результат'!C75</f>
        <v>(    )</v>
      </c>
      <c r="D52" s="24" t="str">
        <f aca="false">'I. Фін результат'!D75</f>
        <v>(    )</v>
      </c>
      <c r="E52" s="24" t="str">
        <f aca="false">'I. Фін результат'!E75</f>
        <v>(    )</v>
      </c>
      <c r="F52" s="24" t="str">
        <f aca="false">'I. Фін результат'!F75</f>
        <v>(    )</v>
      </c>
      <c r="G52" s="24" t="e">
        <f aca="false">F52-E52</f>
        <v>#VALUE!</v>
      </c>
      <c r="H52" s="25" t="e">
        <f aca="false">(F52/E52)*100</f>
        <v>#VALUE!</v>
      </c>
    </row>
    <row r="53" s="18" customFormat="true" ht="20.1" hidden="false" customHeight="true" outlineLevel="0" collapsed="false">
      <c r="A53" s="31" t="s">
        <v>49</v>
      </c>
      <c r="B53" s="36" t="n">
        <v>1200</v>
      </c>
      <c r="C53" s="28" t="n">
        <f aca="false">SUM(C48:C52)</f>
        <v>4081.59999999998</v>
      </c>
      <c r="D53" s="28" t="n">
        <f aca="false">SUM(D48:D52)</f>
        <v>-17861.6</v>
      </c>
      <c r="E53" s="28" t="n">
        <f aca="false">SUM(E48:E52)</f>
        <v>-3286.89999999999</v>
      </c>
      <c r="F53" s="28" t="n">
        <f aca="false">SUM(F48:F52)</f>
        <v>-1504.89999999999</v>
      </c>
      <c r="G53" s="21" t="n">
        <f aca="false">F53-E53</f>
        <v>1782.00000000001</v>
      </c>
      <c r="H53" s="22" t="n">
        <f aca="false">(F53/E53)*100</f>
        <v>45.784782013447</v>
      </c>
    </row>
    <row r="54" s="18" customFormat="true" ht="20.1" hidden="false" customHeight="true" outlineLevel="0" collapsed="false">
      <c r="A54" s="29" t="s">
        <v>50</v>
      </c>
      <c r="B54" s="11" t="n">
        <v>1201</v>
      </c>
      <c r="C54" s="24" t="n">
        <f aca="false">'I. Фін результат'!C77</f>
        <v>7250.4</v>
      </c>
      <c r="D54" s="24" t="n">
        <f aca="false">'I. Фін результат'!D77</f>
        <v>1960.4</v>
      </c>
      <c r="E54" s="24" t="n">
        <f aca="false">'I. Фін результат'!E77</f>
        <v>277.2</v>
      </c>
      <c r="F54" s="24" t="n">
        <f aca="false">'I. Фін результат'!F77</f>
        <v>3564.8</v>
      </c>
      <c r="G54" s="24" t="n">
        <f aca="false">F54-E54</f>
        <v>3287.6</v>
      </c>
      <c r="H54" s="25" t="n">
        <f aca="false">(F54/E54)*100</f>
        <v>1286.00288600289</v>
      </c>
    </row>
    <row r="55" s="18" customFormat="true" ht="20.1" hidden="false" customHeight="true" outlineLevel="0" collapsed="false">
      <c r="A55" s="29" t="s">
        <v>51</v>
      </c>
      <c r="B55" s="11" t="n">
        <v>1202</v>
      </c>
      <c r="C55" s="24" t="n">
        <f aca="false">'I. Фін результат'!C78</f>
        <v>-3179.8</v>
      </c>
      <c r="D55" s="24" t="n">
        <f aca="false">'I. Фін результат'!D78</f>
        <v>-19957</v>
      </c>
      <c r="E55" s="24" t="n">
        <f aca="false">'I. Фін результат'!E78</f>
        <v>-3409.1</v>
      </c>
      <c r="F55" s="24" t="n">
        <f aca="false">'I. Фін результат'!F78</f>
        <v>-4994.7</v>
      </c>
      <c r="G55" s="24" t="n">
        <f aca="false">F55-E55</f>
        <v>-1585.6</v>
      </c>
      <c r="H55" s="25" t="n">
        <f aca="false">(F55/E55)*100</f>
        <v>146.510809304509</v>
      </c>
    </row>
    <row r="56" s="18" customFormat="true" ht="20.1" hidden="false" customHeight="true" outlineLevel="0" collapsed="false">
      <c r="A56" s="31" t="s">
        <v>52</v>
      </c>
      <c r="B56" s="11" t="n">
        <v>1210</v>
      </c>
      <c r="C56" s="37" t="n">
        <f aca="false">SUM(C21,C31,C40,C42,C44,C50,C51)</f>
        <v>255057.5</v>
      </c>
      <c r="D56" s="37" t="n">
        <f aca="false">SUM(D21,D31,D40,D42,D44,D50,D51)</f>
        <v>321494.8</v>
      </c>
      <c r="E56" s="37" t="n">
        <f aca="false">SUM(E21,E31,E40,E42,E44,E50,E51)</f>
        <v>94999.9</v>
      </c>
      <c r="F56" s="37" t="n">
        <f aca="false">SUM(F21,F31,F40,F42,F44,F50,F51)</f>
        <v>111930.5</v>
      </c>
      <c r="G56" s="24" t="n">
        <f aca="false">F56-E56</f>
        <v>16930.6</v>
      </c>
      <c r="H56" s="25" t="n">
        <f aca="false">(F56/E56)*100</f>
        <v>117.821702970214</v>
      </c>
    </row>
    <row r="57" s="18" customFormat="true" ht="20.1" hidden="false" customHeight="true" outlineLevel="0" collapsed="false">
      <c r="A57" s="31" t="s">
        <v>53</v>
      </c>
      <c r="B57" s="11" t="n">
        <v>1220</v>
      </c>
      <c r="C57" s="37" t="n">
        <f aca="false">SUM(C22,C24,C30,C34,C41,C43,C46,C49,C52)</f>
        <v>-250975.9</v>
      </c>
      <c r="D57" s="37" t="n">
        <f aca="false">SUM(D22,D24,D30,D34,D41,D43,D46,D49,D52)</f>
        <v>-339356.4</v>
      </c>
      <c r="E57" s="37" t="n">
        <f aca="false">SUM(E22,E24,E30,E34,E41,E43,E46,E49,E52)</f>
        <v>-98286.8</v>
      </c>
      <c r="F57" s="37" t="n">
        <f aca="false">SUM(F22,F24,F30,F34,F41,F43,F46,F49,F52)</f>
        <v>-113435.4</v>
      </c>
      <c r="G57" s="24" t="n">
        <f aca="false">F57-E57</f>
        <v>-15148.6</v>
      </c>
      <c r="H57" s="25" t="n">
        <f aca="false">(F57/E57)*100</f>
        <v>115.41264951143</v>
      </c>
    </row>
    <row r="58" s="18" customFormat="true" ht="20.1" hidden="false" customHeight="true" outlineLevel="0" collapsed="false">
      <c r="A58" s="29" t="s">
        <v>54</v>
      </c>
      <c r="B58" s="11" t="n">
        <v>1230</v>
      </c>
      <c r="C58" s="24" t="n">
        <f aca="false">'I. Фін результат'!C81</f>
        <v>0</v>
      </c>
      <c r="D58" s="24" t="n">
        <f aca="false">'I. Фін результат'!D81</f>
        <v>0</v>
      </c>
      <c r="E58" s="24" t="n">
        <f aca="false">'I. Фін результат'!E81</f>
        <v>0</v>
      </c>
      <c r="F58" s="24" t="n">
        <f aca="false">'I. Фін результат'!F81</f>
        <v>0</v>
      </c>
      <c r="G58" s="24" t="n">
        <f aca="false">F58-E58</f>
        <v>0</v>
      </c>
      <c r="H58" s="25" t="e">
        <f aca="false">(F58/E58)*100</f>
        <v>#DIV/0!</v>
      </c>
    </row>
    <row r="59" s="18" customFormat="true" ht="20.1" hidden="false" customHeight="true" outlineLevel="0" collapsed="false">
      <c r="A59" s="31" t="s">
        <v>55</v>
      </c>
      <c r="B59" s="36"/>
      <c r="C59" s="38"/>
      <c r="D59" s="39"/>
      <c r="E59" s="39"/>
      <c r="F59" s="39"/>
      <c r="G59" s="21" t="n">
        <f aca="false">F59-E59</f>
        <v>0</v>
      </c>
      <c r="H59" s="22" t="e">
        <f aca="false">(F59/E59)*100</f>
        <v>#DIV/0!</v>
      </c>
    </row>
    <row r="60" s="18" customFormat="true" ht="20.1" hidden="false" customHeight="true" outlineLevel="0" collapsed="false">
      <c r="A60" s="29" t="s">
        <v>56</v>
      </c>
      <c r="B60" s="11" t="n">
        <v>1400</v>
      </c>
      <c r="C60" s="24" t="n">
        <f aca="false">'I. Фін результат'!C91</f>
        <v>88203</v>
      </c>
      <c r="D60" s="24" t="n">
        <f aca="false">'I. Фін результат'!D91</f>
        <v>106857.7</v>
      </c>
      <c r="E60" s="24" t="n">
        <f aca="false">'I. Фін результат'!E91</f>
        <v>35991.7</v>
      </c>
      <c r="F60" s="24" t="n">
        <f aca="false">'I. Фін результат'!F91</f>
        <v>29522.6</v>
      </c>
      <c r="G60" s="24" t="n">
        <f aca="false">F60-E60</f>
        <v>-6469.1</v>
      </c>
      <c r="H60" s="25" t="n">
        <f aca="false">(F60/E60)*100</f>
        <v>82.0261338030713</v>
      </c>
    </row>
    <row r="61" s="18" customFormat="true" ht="20.1" hidden="false" customHeight="true" outlineLevel="0" collapsed="false">
      <c r="A61" s="29" t="s">
        <v>57</v>
      </c>
      <c r="B61" s="40" t="n">
        <v>1401</v>
      </c>
      <c r="C61" s="24" t="n">
        <f aca="false">'I. Фін результат'!C92</f>
        <v>20131.8</v>
      </c>
      <c r="D61" s="24" t="n">
        <f aca="false">'I. Фін результат'!D92</f>
        <v>29214.7</v>
      </c>
      <c r="E61" s="24" t="n">
        <f aca="false">'I. Фін результат'!E92</f>
        <v>10290</v>
      </c>
      <c r="F61" s="24" t="n">
        <f aca="false">'I. Фін результат'!F92</f>
        <v>6898.6</v>
      </c>
      <c r="G61" s="24" t="n">
        <f aca="false">F61-E61</f>
        <v>-3391.4</v>
      </c>
      <c r="H61" s="25" t="n">
        <f aca="false">(F61/E61)*100</f>
        <v>67.041788143829</v>
      </c>
    </row>
    <row r="62" s="18" customFormat="true" ht="20.1" hidden="false" customHeight="true" outlineLevel="0" collapsed="false">
      <c r="A62" s="29" t="s">
        <v>58</v>
      </c>
      <c r="B62" s="40" t="n">
        <v>1402</v>
      </c>
      <c r="C62" s="24" t="n">
        <f aca="false">'I. Фін результат'!C93</f>
        <v>50735.2</v>
      </c>
      <c r="D62" s="24" t="n">
        <f aca="false">'I. Фін результат'!D93</f>
        <v>55455</v>
      </c>
      <c r="E62" s="24" t="n">
        <f aca="false">'I. Фін результат'!E93</f>
        <v>17364.7</v>
      </c>
      <c r="F62" s="24" t="n">
        <f aca="false">'I. Фін результат'!F93</f>
        <v>16636</v>
      </c>
      <c r="G62" s="24" t="n">
        <f aca="false">F62-E62</f>
        <v>-728.700000000001</v>
      </c>
      <c r="H62" s="25" t="n">
        <f aca="false">(F62/E62)*100</f>
        <v>95.8035554890093</v>
      </c>
    </row>
    <row r="63" s="18" customFormat="true" ht="20.1" hidden="false" customHeight="true" outlineLevel="0" collapsed="false">
      <c r="A63" s="29" t="s">
        <v>59</v>
      </c>
      <c r="B63" s="40" t="n">
        <v>1410</v>
      </c>
      <c r="C63" s="24" t="n">
        <f aca="false">'I. Фін результат'!C94</f>
        <v>96564.6</v>
      </c>
      <c r="D63" s="24" t="n">
        <f aca="false">'I. Фін результат'!D94</f>
        <v>140957.3</v>
      </c>
      <c r="E63" s="24" t="n">
        <f aca="false">'I. Фін результат'!E94</f>
        <v>42583.6</v>
      </c>
      <c r="F63" s="24" t="n">
        <f aca="false">'I. Фін результат'!F94</f>
        <v>47099</v>
      </c>
      <c r="G63" s="24" t="n">
        <f aca="false">F63-E63</f>
        <v>4515.4</v>
      </c>
      <c r="H63" s="25" t="n">
        <f aca="false">(F63/E63)*100</f>
        <v>110.603612658394</v>
      </c>
    </row>
    <row r="64" s="18" customFormat="true" ht="20.1" hidden="false" customHeight="true" outlineLevel="0" collapsed="false">
      <c r="A64" s="29" t="s">
        <v>60</v>
      </c>
      <c r="B64" s="40" t="n">
        <v>1420</v>
      </c>
      <c r="C64" s="24" t="n">
        <f aca="false">'I. Фін результат'!C95</f>
        <v>21911.9</v>
      </c>
      <c r="D64" s="24" t="n">
        <f aca="false">'I. Фін результат'!D95</f>
        <v>31508.3</v>
      </c>
      <c r="E64" s="24" t="n">
        <f aca="false">'I. Фін результат'!E95</f>
        <v>9348.5</v>
      </c>
      <c r="F64" s="24" t="n">
        <f aca="false">'I. Фін результат'!F95</f>
        <v>10512.5</v>
      </c>
      <c r="G64" s="24" t="n">
        <f aca="false">F64-E64</f>
        <v>1164</v>
      </c>
      <c r="H64" s="25" t="n">
        <f aca="false">(F64/E64)*100</f>
        <v>112.451195378938</v>
      </c>
    </row>
    <row r="65" s="18" customFormat="true" ht="20.1" hidden="false" customHeight="true" outlineLevel="0" collapsed="false">
      <c r="A65" s="29" t="s">
        <v>61</v>
      </c>
      <c r="B65" s="40" t="n">
        <v>1430</v>
      </c>
      <c r="C65" s="24" t="n">
        <f aca="false">'I. Фін результат'!C96</f>
        <v>11268</v>
      </c>
      <c r="D65" s="24" t="n">
        <f aca="false">'I. Фін результат'!D96</f>
        <v>21859.4</v>
      </c>
      <c r="E65" s="24" t="n">
        <f aca="false">'I. Фін результат'!E96</f>
        <v>3057.3</v>
      </c>
      <c r="F65" s="24" t="n">
        <f aca="false">'I. Фін результат'!F96</f>
        <v>10114.1</v>
      </c>
      <c r="G65" s="24" t="n">
        <f aca="false">F65-E65</f>
        <v>7056.8</v>
      </c>
      <c r="H65" s="25" t="n">
        <f aca="false">(F65/E65)*100</f>
        <v>330.818042063258</v>
      </c>
    </row>
    <row r="66" s="18" customFormat="true" ht="20.1" hidden="false" customHeight="true" outlineLevel="0" collapsed="false">
      <c r="A66" s="29" t="s">
        <v>62</v>
      </c>
      <c r="B66" s="40" t="n">
        <v>1440</v>
      </c>
      <c r="C66" s="24" t="n">
        <f aca="false">'I. Фін результат'!C97</f>
        <v>11777.4</v>
      </c>
      <c r="D66" s="24" t="n">
        <f aca="false">'I. Фін результат'!D97</f>
        <v>15778.7</v>
      </c>
      <c r="E66" s="24" t="n">
        <f aca="false">'I. Фін результат'!E97</f>
        <v>5580.7</v>
      </c>
      <c r="F66" s="24" t="n">
        <f aca="false">'I. Фін результат'!F97</f>
        <v>7462.1</v>
      </c>
      <c r="G66" s="24" t="n">
        <f aca="false">F66-E66</f>
        <v>1881.4</v>
      </c>
      <c r="H66" s="25" t="n">
        <f aca="false">(F66/E66)*100</f>
        <v>133.71261669683</v>
      </c>
    </row>
    <row r="67" s="18" customFormat="true" ht="20.1" hidden="false" customHeight="true" outlineLevel="0" collapsed="false">
      <c r="A67" s="31" t="s">
        <v>63</v>
      </c>
      <c r="B67" s="41" t="n">
        <v>1450</v>
      </c>
      <c r="C67" s="28" t="n">
        <f aca="false">SUM(C60,C63:C66)</f>
        <v>229724.9</v>
      </c>
      <c r="D67" s="28" t="n">
        <f aca="false">SUM(D60,D63:D66)</f>
        <v>316961.4</v>
      </c>
      <c r="E67" s="28" t="n">
        <f aca="false">SUM(E60,E63:E66)</f>
        <v>96561.8</v>
      </c>
      <c r="F67" s="28" t="n">
        <f aca="false">SUM(F60,F63:F66)</f>
        <v>104710.3</v>
      </c>
      <c r="G67" s="21" t="n">
        <f aca="false">F67-E67</f>
        <v>8148.5</v>
      </c>
      <c r="H67" s="22" t="n">
        <f aca="false">(F67/E67)*100</f>
        <v>108.438637225072</v>
      </c>
    </row>
    <row r="68" s="18" customFormat="true" ht="19.5" hidden="false" customHeight="true" outlineLevel="0" collapsed="false">
      <c r="A68" s="17" t="s">
        <v>64</v>
      </c>
      <c r="B68" s="17"/>
      <c r="C68" s="17"/>
      <c r="D68" s="17"/>
      <c r="E68" s="17"/>
      <c r="F68" s="17"/>
      <c r="G68" s="17"/>
      <c r="H68" s="17"/>
    </row>
    <row r="69" s="18" customFormat="true" ht="18.75" hidden="false" customHeight="true" outlineLevel="0" collapsed="false">
      <c r="A69" s="42" t="s">
        <v>65</v>
      </c>
      <c r="B69" s="42"/>
      <c r="C69" s="42"/>
      <c r="D69" s="42"/>
      <c r="E69" s="42"/>
      <c r="F69" s="42"/>
      <c r="G69" s="42"/>
      <c r="H69" s="42"/>
    </row>
    <row r="70" s="18" customFormat="true" ht="37.5" hidden="false" customHeight="true" outlineLevel="0" collapsed="false">
      <c r="A70" s="43" t="s">
        <v>66</v>
      </c>
      <c r="B70" s="44" t="n">
        <v>2000</v>
      </c>
      <c r="C70" s="24" t="n">
        <f aca="false">'ІІ. Розр. з бюджетом'!C8</f>
        <v>-578</v>
      </c>
      <c r="D70" s="24" t="n">
        <f aca="false">'ІІ. Розр. з бюджетом'!D8</f>
        <v>16070.2</v>
      </c>
      <c r="E70" s="24" t="n">
        <f aca="false">'ІІ. Розр. з бюджетом'!E8</f>
        <v>-4797.6</v>
      </c>
      <c r="F70" s="24" t="n">
        <f aca="false">'ІІ. Розр. з бюджетом'!F8</f>
        <v>10526.7</v>
      </c>
      <c r="G70" s="24" t="n">
        <f aca="false">F70-E70</f>
        <v>15324.3</v>
      </c>
      <c r="H70" s="25" t="n">
        <f aca="false">(F70/E70)*100</f>
        <v>-219.415957978989</v>
      </c>
    </row>
    <row r="71" s="18" customFormat="true" ht="37.5" hidden="false" customHeight="true" outlineLevel="0" collapsed="false">
      <c r="A71" s="29" t="s">
        <v>49</v>
      </c>
      <c r="B71" s="11" t="n">
        <v>1200</v>
      </c>
      <c r="C71" s="24" t="n">
        <f aca="false">'ІІ. Розр. з бюджетом'!C7</f>
        <v>4081.59999999998</v>
      </c>
      <c r="D71" s="24" t="n">
        <f aca="false">'ІІ. Розр. з бюджетом'!D7</f>
        <v>-17861.6</v>
      </c>
      <c r="E71" s="24" t="n">
        <f aca="false">'ІІ. Розр. з бюджетом'!E7</f>
        <v>-3286.89999999999</v>
      </c>
      <c r="F71" s="24" t="n">
        <f aca="false">'ІІ. Розр. з бюджетом'!F7</f>
        <v>-1504.89999999999</v>
      </c>
      <c r="G71" s="24" t="n">
        <f aca="false">F71-E71</f>
        <v>1782.00000000001</v>
      </c>
      <c r="H71" s="25" t="n">
        <f aca="false">(F71/E71)*100</f>
        <v>45.784782013447</v>
      </c>
    </row>
    <row r="72" s="18" customFormat="true" ht="39.75" hidden="false" customHeight="true" outlineLevel="0" collapsed="false">
      <c r="A72" s="45" t="s">
        <v>67</v>
      </c>
      <c r="B72" s="11" t="n">
        <v>2010</v>
      </c>
      <c r="C72" s="46" t="n">
        <f aca="false">SUM(C73:C74)</f>
        <v>0</v>
      </c>
      <c r="D72" s="46" t="n">
        <f aca="false">SUM(D73:D74)</f>
        <v>0</v>
      </c>
      <c r="E72" s="46" t="n">
        <f aca="false">SUM(E73:E74)</f>
        <v>0</v>
      </c>
      <c r="F72" s="46" t="n">
        <f aca="false">SUM(F73:F74)</f>
        <v>0</v>
      </c>
      <c r="G72" s="24" t="n">
        <f aca="false">F72-E72</f>
        <v>0</v>
      </c>
      <c r="H72" s="25" t="e">
        <f aca="false">(F72/E72)*100</f>
        <v>#DIV/0!</v>
      </c>
    </row>
    <row r="73" s="18" customFormat="true" ht="37.5" hidden="false" customHeight="true" outlineLevel="0" collapsed="false">
      <c r="A73" s="29" t="s">
        <v>68</v>
      </c>
      <c r="B73" s="11" t="n">
        <v>2011</v>
      </c>
      <c r="C73" s="24" t="str">
        <f aca="false">'ІІ. Розр. з бюджетом'!C10</f>
        <v>(    )</v>
      </c>
      <c r="D73" s="24" t="str">
        <f aca="false">'ІІ. Розр. з бюджетом'!D10</f>
        <v>(    )</v>
      </c>
      <c r="E73" s="24" t="str">
        <f aca="false">'ІІ. Розр. з бюджетом'!E10</f>
        <v>(    )</v>
      </c>
      <c r="F73" s="24" t="str">
        <f aca="false">'ІІ. Розр. з бюджетом'!F10</f>
        <v>(    )</v>
      </c>
      <c r="G73" s="24" t="e">
        <f aca="false">F73-E73</f>
        <v>#VALUE!</v>
      </c>
      <c r="H73" s="25" t="e">
        <f aca="false">(F73/E73)*100</f>
        <v>#VALUE!</v>
      </c>
    </row>
    <row r="74" s="18" customFormat="true" ht="39.75" hidden="false" customHeight="true" outlineLevel="0" collapsed="false">
      <c r="A74" s="29" t="s">
        <v>69</v>
      </c>
      <c r="B74" s="11" t="n">
        <v>2012</v>
      </c>
      <c r="C74" s="24" t="str">
        <f aca="false">'ІІ. Розр. з бюджетом'!C11</f>
        <v>(    )</v>
      </c>
      <c r="D74" s="24" t="str">
        <f aca="false">'ІІ. Розр. з бюджетом'!D11</f>
        <v>(    )</v>
      </c>
      <c r="E74" s="24" t="str">
        <f aca="false">'ІІ. Розр. з бюджетом'!E11</f>
        <v>(    )</v>
      </c>
      <c r="F74" s="24" t="str">
        <f aca="false">'ІІ. Розр. з бюджетом'!F11</f>
        <v>(    )</v>
      </c>
      <c r="G74" s="24" t="e">
        <f aca="false">F74-E74</f>
        <v>#VALUE!</v>
      </c>
      <c r="H74" s="25" t="e">
        <f aca="false">(F74/E74)*100</f>
        <v>#VALUE!</v>
      </c>
    </row>
    <row r="75" s="18" customFormat="true" ht="18.75" hidden="false" customHeight="false" outlineLevel="0" collapsed="false">
      <c r="A75" s="29" t="s">
        <v>70</v>
      </c>
      <c r="B75" s="11" t="s">
        <v>71</v>
      </c>
      <c r="C75" s="24" t="str">
        <f aca="false">'ІІ. Розр. з бюджетом'!C12</f>
        <v>(    )</v>
      </c>
      <c r="D75" s="24" t="str">
        <f aca="false">'ІІ. Розр. з бюджетом'!D12</f>
        <v>(    )</v>
      </c>
      <c r="E75" s="24" t="str">
        <f aca="false">'ІІ. Розр. з бюджетом'!E12</f>
        <v>(    )</v>
      </c>
      <c r="F75" s="24" t="str">
        <f aca="false">'ІІ. Розр. з бюджетом'!F12</f>
        <v>(    )</v>
      </c>
      <c r="G75" s="24" t="e">
        <f aca="false">F75-E75</f>
        <v>#VALUE!</v>
      </c>
      <c r="H75" s="25" t="e">
        <f aca="false">(F75/E75)*100</f>
        <v>#VALUE!</v>
      </c>
    </row>
    <row r="76" s="18" customFormat="true" ht="18.75" hidden="false" customHeight="false" outlineLevel="0" collapsed="false">
      <c r="A76" s="29" t="s">
        <v>72</v>
      </c>
      <c r="B76" s="11" t="n">
        <v>2020</v>
      </c>
      <c r="C76" s="24" t="n">
        <f aca="false">'ІІ. Розр. з бюджетом'!C13</f>
        <v>0</v>
      </c>
      <c r="D76" s="24" t="n">
        <f aca="false">'ІІ. Розр. з бюджетом'!D13</f>
        <v>0</v>
      </c>
      <c r="E76" s="24" t="n">
        <f aca="false">'ІІ. Розр. з бюджетом'!E13</f>
        <v>0</v>
      </c>
      <c r="F76" s="24" t="n">
        <f aca="false">'ІІ. Розр. з бюджетом'!F13</f>
        <v>0</v>
      </c>
      <c r="G76" s="24" t="n">
        <f aca="false">F76-E76</f>
        <v>0</v>
      </c>
      <c r="H76" s="25" t="e">
        <f aca="false">(F76/E76)*100</f>
        <v>#DIV/0!</v>
      </c>
    </row>
    <row r="77" s="18" customFormat="true" ht="18.75" hidden="false" customHeight="false" outlineLevel="0" collapsed="false">
      <c r="A77" s="45" t="s">
        <v>73</v>
      </c>
      <c r="B77" s="11" t="n">
        <v>2030</v>
      </c>
      <c r="C77" s="24" t="n">
        <f aca="false">'ІІ. Розр. з бюджетом'!C14</f>
        <v>-45</v>
      </c>
      <c r="D77" s="24" t="n">
        <f aca="false">'ІІ. Розр. з бюджетом'!D14</f>
        <v>-38</v>
      </c>
      <c r="E77" s="24" t="n">
        <f aca="false">'ІІ. Розр. з бюджетом'!E14</f>
        <v>-7</v>
      </c>
      <c r="F77" s="24" t="n">
        <f aca="false">'ІІ. Розр. з бюджетом'!F14</f>
        <v>-19</v>
      </c>
      <c r="G77" s="24" t="n">
        <f aca="false">F77-E77</f>
        <v>-12</v>
      </c>
      <c r="H77" s="25" t="n">
        <f aca="false">(F77/E77)*100</f>
        <v>271.428571428571</v>
      </c>
    </row>
    <row r="78" s="18" customFormat="true" ht="18.75" hidden="false" customHeight="false" outlineLevel="0" collapsed="false">
      <c r="A78" s="45" t="s">
        <v>74</v>
      </c>
      <c r="B78" s="11" t="n">
        <v>2040</v>
      </c>
      <c r="C78" s="24" t="str">
        <f aca="false">'ІІ. Розр. з бюджетом'!C16</f>
        <v>(    )</v>
      </c>
      <c r="D78" s="24" t="str">
        <f aca="false">'ІІ. Розр. з бюджетом'!D16</f>
        <v>(    )</v>
      </c>
      <c r="E78" s="24" t="str">
        <f aca="false">'ІІ. Розр. з бюджетом'!E16</f>
        <v>(    )</v>
      </c>
      <c r="F78" s="24" t="str">
        <f aca="false">'ІІ. Розр. з бюджетом'!F16</f>
        <v>(    )</v>
      </c>
      <c r="G78" s="24" t="e">
        <f aca="false">F78-E78</f>
        <v>#VALUE!</v>
      </c>
      <c r="H78" s="25" t="e">
        <f aca="false">(F78/E78)*100</f>
        <v>#VALUE!</v>
      </c>
    </row>
    <row r="79" s="18" customFormat="true" ht="18.75" hidden="false" customHeight="false" outlineLevel="0" collapsed="false">
      <c r="A79" s="45" t="s">
        <v>75</v>
      </c>
      <c r="B79" s="11" t="n">
        <v>2050</v>
      </c>
      <c r="C79" s="24" t="str">
        <f aca="false">'ІІ. Розр. з бюджетом'!C17</f>
        <v>(    )</v>
      </c>
      <c r="D79" s="24" t="str">
        <f aca="false">'ІІ. Розр. з бюджетом'!D17</f>
        <v>(    )</v>
      </c>
      <c r="E79" s="24" t="str">
        <f aca="false">'ІІ. Розр. з бюджетом'!E17</f>
        <v>(    )</v>
      </c>
      <c r="F79" s="24" t="str">
        <f aca="false">'ІІ. Розр. з бюджетом'!F17</f>
        <v>(    )</v>
      </c>
      <c r="G79" s="24" t="e">
        <f aca="false">F79-E79</f>
        <v>#VALUE!</v>
      </c>
      <c r="H79" s="25" t="e">
        <f aca="false">(F79/E79)*100</f>
        <v>#VALUE!</v>
      </c>
    </row>
    <row r="80" s="18" customFormat="true" ht="18.75" hidden="false" customHeight="false" outlineLevel="0" collapsed="false">
      <c r="A80" s="45" t="s">
        <v>76</v>
      </c>
      <c r="B80" s="11" t="n">
        <v>2060</v>
      </c>
      <c r="C80" s="24" t="str">
        <f aca="false">'ІІ. Розр. з бюджетом'!C18</f>
        <v>(    )</v>
      </c>
      <c r="D80" s="24" t="str">
        <f aca="false">'ІІ. Розр. з бюджетом'!D18</f>
        <v>(    )</v>
      </c>
      <c r="E80" s="24" t="str">
        <f aca="false">'ІІ. Розр. з бюджетом'!E18</f>
        <v>(    )</v>
      </c>
      <c r="F80" s="24" t="str">
        <f aca="false">'ІІ. Розр. з бюджетом'!F18</f>
        <v>(    )</v>
      </c>
      <c r="G80" s="24" t="e">
        <f aca="false">F80-E80</f>
        <v>#VALUE!</v>
      </c>
      <c r="H80" s="25" t="e">
        <f aca="false">(F80/E80)*100</f>
        <v>#VALUE!</v>
      </c>
    </row>
    <row r="81" s="18" customFormat="true" ht="41.25" hidden="false" customHeight="true" outlineLevel="0" collapsed="false">
      <c r="A81" s="45" t="s">
        <v>77</v>
      </c>
      <c r="B81" s="11" t="n">
        <v>2070</v>
      </c>
      <c r="C81" s="47" t="n">
        <f aca="false">SUM(C70:C72,C76:C80)</f>
        <v>3458.59999999998</v>
      </c>
      <c r="D81" s="47" t="n">
        <f aca="false">SUM(D70:D72,D76:D80)</f>
        <v>-1829.39999999998</v>
      </c>
      <c r="E81" s="47" t="n">
        <f aca="false">SUM(E70:E72,E76:E80)</f>
        <v>-8091.49999999999</v>
      </c>
      <c r="F81" s="47" t="n">
        <f aca="false">SUM(F70:F72,F76:F80)</f>
        <v>9002.80000000002</v>
      </c>
      <c r="G81" s="24" t="n">
        <f aca="false">F81-E81</f>
        <v>17094.3</v>
      </c>
      <c r="H81" s="25" t="n">
        <f aca="false">(F81/E81)*100</f>
        <v>-111.262435889514</v>
      </c>
    </row>
    <row r="82" s="18" customFormat="true" ht="21.75" hidden="false" customHeight="true" outlineLevel="0" collapsed="false">
      <c r="A82" s="31" t="s">
        <v>78</v>
      </c>
      <c r="B82" s="31"/>
      <c r="C82" s="31"/>
      <c r="D82" s="31"/>
      <c r="E82" s="31"/>
      <c r="F82" s="31"/>
      <c r="G82" s="31"/>
      <c r="H82" s="31"/>
    </row>
    <row r="83" s="18" customFormat="true" ht="41.25" hidden="false" customHeight="true" outlineLevel="0" collapsed="false">
      <c r="A83" s="48" t="s">
        <v>79</v>
      </c>
      <c r="B83" s="36" t="n">
        <v>2110</v>
      </c>
      <c r="C83" s="33" t="n">
        <f aca="false">'ІІ. Розр. з бюджетом'!C21</f>
        <v>12560.8</v>
      </c>
      <c r="D83" s="33" t="n">
        <f aca="false">'ІІ. Розр. з бюджетом'!D21</f>
        <v>22976.6</v>
      </c>
      <c r="E83" s="33" t="n">
        <f aca="false">'ІІ. Розр. з бюджетом'!E21</f>
        <v>2757.3</v>
      </c>
      <c r="F83" s="33" t="n">
        <f aca="false">'ІІ. Розр. з бюджетом'!F21</f>
        <v>9243.5</v>
      </c>
      <c r="G83" s="33" t="n">
        <f aca="false">F83-E83</f>
        <v>6486.2</v>
      </c>
      <c r="H83" s="22" t="n">
        <f aca="false">(F83/E83)*100</f>
        <v>335.237369890835</v>
      </c>
    </row>
    <row r="84" s="18" customFormat="true" ht="18.75" hidden="false" customHeight="false" outlineLevel="0" collapsed="false">
      <c r="A84" s="29" t="s">
        <v>80</v>
      </c>
      <c r="B84" s="11" t="n">
        <v>2111</v>
      </c>
      <c r="C84" s="49" t="n">
        <f aca="false">'ІІ. Розр. з бюджетом'!C22</f>
        <v>8146.3</v>
      </c>
      <c r="D84" s="49" t="n">
        <f aca="false">'ІІ. Розр. з бюджетом'!D22</f>
        <v>13715.7</v>
      </c>
      <c r="E84" s="49" t="n">
        <f aca="false">'ІІ. Розр. з бюджетом'!E22</f>
        <v>-43</v>
      </c>
      <c r="F84" s="49" t="n">
        <f aca="false">'ІІ. Розр. з бюджетом'!F22</f>
        <v>6160.1</v>
      </c>
      <c r="G84" s="49" t="n">
        <f aca="false">F84-E84</f>
        <v>6203.1</v>
      </c>
      <c r="H84" s="25" t="n">
        <f aca="false">(F84/E84)*100</f>
        <v>-14325.8139534884</v>
      </c>
    </row>
    <row r="85" s="18" customFormat="true" ht="18.75" hidden="false" customHeight="false" outlineLevel="0" collapsed="false">
      <c r="A85" s="29" t="s">
        <v>81</v>
      </c>
      <c r="B85" s="11" t="n">
        <v>2112</v>
      </c>
      <c r="C85" s="49" t="n">
        <f aca="false">'ІІ. Розр. з бюджетом'!C23</f>
        <v>4788.2</v>
      </c>
      <c r="D85" s="49" t="n">
        <f aca="false">'ІІ. Розр. з бюджетом'!D23</f>
        <v>9589.2</v>
      </c>
      <c r="E85" s="49" t="n">
        <f aca="false">'ІІ. Розр. з бюджетом'!E23</f>
        <v>3144.6</v>
      </c>
      <c r="F85" s="49" t="n">
        <f aca="false">'ІІ. Розр. з бюджетом'!F23</f>
        <v>3070.7</v>
      </c>
      <c r="G85" s="49" t="n">
        <f aca="false">F85-E85</f>
        <v>-73.9000000000001</v>
      </c>
      <c r="H85" s="25" t="n">
        <f aca="false">(F85/E85)*100</f>
        <v>97.6499395789608</v>
      </c>
    </row>
    <row r="86" s="18" customFormat="true" ht="38.25" hidden="false" customHeight="true" outlineLevel="0" collapsed="false">
      <c r="A86" s="45" t="s">
        <v>82</v>
      </c>
      <c r="B86" s="12" t="n">
        <v>2113</v>
      </c>
      <c r="C86" s="49" t="n">
        <f aca="false">'ІІ. Розр. з бюджетом'!C24</f>
        <v>-1388</v>
      </c>
      <c r="D86" s="49" t="n">
        <f aca="false">'ІІ. Розр. з бюджетом'!D24</f>
        <v>-1675</v>
      </c>
      <c r="E86" s="49" t="n">
        <f aca="false">'ІІ. Розр. з бюджетом'!E24</f>
        <v>-648</v>
      </c>
      <c r="F86" s="49" t="n">
        <f aca="false">'ІІ. Розр. з бюджетом'!F24</f>
        <v>-478</v>
      </c>
      <c r="G86" s="49" t="n">
        <f aca="false">F86-E86</f>
        <v>170</v>
      </c>
      <c r="H86" s="25" t="n">
        <f aca="false">(F86/E86)*100</f>
        <v>73.7654320987654</v>
      </c>
    </row>
    <row r="87" s="18" customFormat="true" ht="18.75" hidden="false" customHeight="false" outlineLevel="0" collapsed="false">
      <c r="A87" s="45" t="s">
        <v>83</v>
      </c>
      <c r="B87" s="12" t="n">
        <v>2114</v>
      </c>
      <c r="C87" s="49" t="n">
        <f aca="false">'ІІ. Розр. з бюджетом'!C25</f>
        <v>0</v>
      </c>
      <c r="D87" s="49" t="n">
        <f aca="false">'ІІ. Розр. з бюджетом'!D25</f>
        <v>0</v>
      </c>
      <c r="E87" s="49" t="n">
        <f aca="false">'ІІ. Розр. з бюджетом'!E25</f>
        <v>0</v>
      </c>
      <c r="F87" s="49" t="n">
        <f aca="false">'ІІ. Розр. з бюджетом'!F25</f>
        <v>0</v>
      </c>
      <c r="G87" s="49" t="n">
        <f aca="false">F87-E87</f>
        <v>0</v>
      </c>
      <c r="H87" s="25" t="e">
        <f aca="false">(F87/E87)*100</f>
        <v>#DIV/0!</v>
      </c>
    </row>
    <row r="88" s="18" customFormat="true" ht="37.5" hidden="false" customHeight="false" outlineLevel="0" collapsed="false">
      <c r="A88" s="45" t="s">
        <v>84</v>
      </c>
      <c r="B88" s="12" t="n">
        <v>2115</v>
      </c>
      <c r="C88" s="49" t="n">
        <f aca="false">'ІІ. Розр. з бюджетом'!C26</f>
        <v>0</v>
      </c>
      <c r="D88" s="49" t="n">
        <f aca="false">'ІІ. Розр. з бюджетом'!D26</f>
        <v>0</v>
      </c>
      <c r="E88" s="49" t="n">
        <f aca="false">'ІІ. Розр. з бюджетом'!E26</f>
        <v>0</v>
      </c>
      <c r="F88" s="49" t="n">
        <f aca="false">'ІІ. Розр. з бюджетом'!F26</f>
        <v>0</v>
      </c>
      <c r="G88" s="49" t="n">
        <f aca="false">F88-E88</f>
        <v>0</v>
      </c>
      <c r="H88" s="25" t="e">
        <f aca="false">(F88/E88)*100</f>
        <v>#DIV/0!</v>
      </c>
    </row>
    <row r="89" s="18" customFormat="true" ht="18.75" hidden="false" customHeight="false" outlineLevel="0" collapsed="false">
      <c r="A89" s="45" t="s">
        <v>85</v>
      </c>
      <c r="B89" s="12" t="n">
        <v>2116</v>
      </c>
      <c r="C89" s="49" t="n">
        <f aca="false">'ІІ. Розр. з бюджетом'!C27</f>
        <v>0</v>
      </c>
      <c r="D89" s="49" t="n">
        <f aca="false">'ІІ. Розр. з бюджетом'!D27</f>
        <v>0</v>
      </c>
      <c r="E89" s="49" t="n">
        <f aca="false">'ІІ. Розр. з бюджетом'!E27</f>
        <v>0</v>
      </c>
      <c r="F89" s="49" t="n">
        <f aca="false">'ІІ. Розр. з бюджетом'!F27</f>
        <v>0</v>
      </c>
      <c r="G89" s="49" t="n">
        <f aca="false">F89-E89</f>
        <v>0</v>
      </c>
      <c r="H89" s="25" t="e">
        <f aca="false">(F89/E89)*100</f>
        <v>#DIV/0!</v>
      </c>
    </row>
    <row r="90" s="18" customFormat="true" ht="18.75" hidden="false" customHeight="false" outlineLevel="0" collapsed="false">
      <c r="A90" s="45" t="s">
        <v>86</v>
      </c>
      <c r="B90" s="12" t="n">
        <v>2117</v>
      </c>
      <c r="C90" s="49" t="n">
        <f aca="false">'ІІ. Розр. з бюджетом'!C28</f>
        <v>0</v>
      </c>
      <c r="D90" s="49" t="n">
        <f aca="false">'ІІ. Розр. з бюджетом'!D28</f>
        <v>0</v>
      </c>
      <c r="E90" s="49" t="n">
        <f aca="false">'ІІ. Розр. з бюджетом'!E28</f>
        <v>0</v>
      </c>
      <c r="F90" s="49" t="n">
        <f aca="false">'ІІ. Розр. з бюджетом'!F28</f>
        <v>0</v>
      </c>
      <c r="G90" s="49" t="n">
        <f aca="false">F90-E90</f>
        <v>0</v>
      </c>
      <c r="H90" s="25" t="e">
        <f aca="false">(F90/E90)*100</f>
        <v>#DIV/0!</v>
      </c>
    </row>
    <row r="91" s="18" customFormat="true" ht="21.75" hidden="false" customHeight="true" outlineLevel="0" collapsed="false">
      <c r="A91" s="48" t="s">
        <v>87</v>
      </c>
      <c r="B91" s="50" t="n">
        <v>2120</v>
      </c>
      <c r="C91" s="21" t="n">
        <f aca="false">'ІІ. Розр. з бюджетом'!C31</f>
        <v>13408</v>
      </c>
      <c r="D91" s="21" t="n">
        <f aca="false">'ІІ. Розр. з бюджетом'!D31</f>
        <v>20161.7</v>
      </c>
      <c r="E91" s="21" t="n">
        <f aca="false">'ІІ. Розр. з бюджетом'!E31</f>
        <v>7292.4</v>
      </c>
      <c r="F91" s="21" t="n">
        <f aca="false">'ІІ. Розр. з бюджетом'!F31</f>
        <v>7286.4</v>
      </c>
      <c r="G91" s="33" t="n">
        <f aca="false">F91-E91</f>
        <v>-6</v>
      </c>
      <c r="H91" s="22" t="n">
        <f aca="false">(F91/E91)*100</f>
        <v>99.9177225604739</v>
      </c>
    </row>
    <row r="92" s="18" customFormat="true" ht="37.5" hidden="false" customHeight="false" outlineLevel="0" collapsed="false">
      <c r="A92" s="48" t="s">
        <v>88</v>
      </c>
      <c r="B92" s="50" t="n">
        <v>2130</v>
      </c>
      <c r="C92" s="21" t="n">
        <f aca="false">'ІІ. Розр. з бюджетом'!C36</f>
        <v>20558</v>
      </c>
      <c r="D92" s="21" t="n">
        <f aca="false">'ІІ. Розр. з бюджетом'!D36</f>
        <v>27867.4</v>
      </c>
      <c r="E92" s="21" t="n">
        <f aca="false">'ІІ. Розр. з бюджетом'!E36</f>
        <v>8887.8</v>
      </c>
      <c r="F92" s="21" t="n">
        <f aca="false">'ІІ. Розр. з бюджетом'!F36</f>
        <v>12281.5</v>
      </c>
      <c r="G92" s="33" t="n">
        <f aca="false">F92-E92</f>
        <v>3393.7</v>
      </c>
      <c r="H92" s="22" t="n">
        <f aca="false">(F92/E92)*100</f>
        <v>138.183802515808</v>
      </c>
    </row>
    <row r="93" s="18" customFormat="true" ht="60.75" hidden="false" customHeight="true" outlineLevel="0" collapsed="false">
      <c r="A93" s="51" t="s">
        <v>89</v>
      </c>
      <c r="B93" s="12" t="n">
        <v>2131</v>
      </c>
      <c r="C93" s="24" t="n">
        <f aca="false">'ІІ. Розр. з бюджетом'!C37</f>
        <v>0</v>
      </c>
      <c r="D93" s="24" t="n">
        <f aca="false">'ІІ. Розр. з бюджетом'!D37</f>
        <v>0</v>
      </c>
      <c r="E93" s="24" t="n">
        <f aca="false">'ІІ. Розр. з бюджетом'!E37</f>
        <v>0</v>
      </c>
      <c r="F93" s="24" t="n">
        <f aca="false">'ІІ. Розр. з бюджетом'!F37</f>
        <v>0</v>
      </c>
      <c r="G93" s="49" t="n">
        <f aca="false">F93-E93</f>
        <v>0</v>
      </c>
      <c r="H93" s="25" t="e">
        <f aca="false">(F93/E93)*100</f>
        <v>#DIV/0!</v>
      </c>
    </row>
    <row r="94" s="18" customFormat="true" ht="19.5" hidden="false" customHeight="true" outlineLevel="0" collapsed="false">
      <c r="A94" s="51" t="s">
        <v>90</v>
      </c>
      <c r="B94" s="12" t="n">
        <v>2133</v>
      </c>
      <c r="C94" s="24" t="n">
        <f aca="false">'ІІ. Розр. з бюджетом'!C39</f>
        <v>19327.2</v>
      </c>
      <c r="D94" s="24" t="n">
        <f aca="false">'ІІ. Розр. з бюджетом'!D39</f>
        <v>26049</v>
      </c>
      <c r="E94" s="24" t="n">
        <f aca="false">'ІІ. Розр. з бюджетом'!E39</f>
        <v>8333.5</v>
      </c>
      <c r="F94" s="24" t="n">
        <f aca="false">'ІІ. Розр. з бюджетом'!F39</f>
        <v>11639.7</v>
      </c>
      <c r="G94" s="49" t="n">
        <f aca="false">F94-E94</f>
        <v>3306.2</v>
      </c>
      <c r="H94" s="25" t="n">
        <f aca="false">(F94/E94)*100</f>
        <v>139.673606527869</v>
      </c>
    </row>
    <row r="95" s="18" customFormat="true" ht="22.5" hidden="false" customHeight="true" outlineLevel="0" collapsed="false">
      <c r="A95" s="32" t="s">
        <v>91</v>
      </c>
      <c r="B95" s="27" t="n">
        <v>2200</v>
      </c>
      <c r="C95" s="21" t="n">
        <f aca="false">'ІІ. Розр. з бюджетом'!C44</f>
        <v>46527.2</v>
      </c>
      <c r="D95" s="21" t="n">
        <f aca="false">'ІІ. Розр. з бюджетом'!D44</f>
        <v>71006.3</v>
      </c>
      <c r="E95" s="21" t="n">
        <f aca="false">'ІІ. Розр. з бюджетом'!E44</f>
        <v>18937.5</v>
      </c>
      <c r="F95" s="21" t="n">
        <f aca="false">'ІІ. Розр. з бюджетом'!F44</f>
        <v>28811.4</v>
      </c>
      <c r="G95" s="33" t="n">
        <f aca="false">F95-E95</f>
        <v>9873.9</v>
      </c>
      <c r="H95" s="22" t="n">
        <f aca="false">(F95/E95)*100</f>
        <v>152.139405940594</v>
      </c>
    </row>
    <row r="96" s="18" customFormat="true" ht="19.5" hidden="false" customHeight="true" outlineLevel="0" collapsed="false">
      <c r="A96" s="17" t="s">
        <v>92</v>
      </c>
      <c r="B96" s="17"/>
      <c r="C96" s="17"/>
      <c r="D96" s="17"/>
      <c r="E96" s="17"/>
      <c r="F96" s="17"/>
      <c r="G96" s="17"/>
      <c r="H96" s="17"/>
    </row>
    <row r="97" s="18" customFormat="true" ht="20.1" hidden="false" customHeight="true" outlineLevel="0" collapsed="false">
      <c r="A97" s="52" t="s">
        <v>93</v>
      </c>
      <c r="B97" s="36" t="n">
        <v>3405</v>
      </c>
      <c r="C97" s="21" t="n">
        <f aca="false">'ІІІ. Рух грош. коштів'!C78</f>
        <v>2610.9</v>
      </c>
      <c r="D97" s="21" t="n">
        <f aca="false">'ІІІ. Рух грош. коштів'!D78</f>
        <v>8713.8</v>
      </c>
      <c r="E97" s="21" t="n">
        <f aca="false">'ІІІ. Рух грош. коштів'!E78</f>
        <v>3167.4</v>
      </c>
      <c r="F97" s="21" t="n">
        <f aca="false">'ІІІ. Рух грош. коштів'!F78</f>
        <v>8637.9</v>
      </c>
      <c r="G97" s="33" t="n">
        <f aca="false">F97-E97</f>
        <v>5470.5</v>
      </c>
      <c r="H97" s="22" t="n">
        <f aca="false">(F97/E97)*100</f>
        <v>272.712634968744</v>
      </c>
    </row>
    <row r="98" s="18" customFormat="true" ht="20.1" hidden="false" customHeight="true" outlineLevel="0" collapsed="false">
      <c r="A98" s="51" t="s">
        <v>94</v>
      </c>
      <c r="B98" s="53" t="n">
        <v>3030</v>
      </c>
      <c r="C98" s="24" t="n">
        <f aca="false">'ІІІ. Рух грош. коштів'!C11</f>
        <v>100689.9</v>
      </c>
      <c r="D98" s="24" t="n">
        <f aca="false">'ІІІ. Рух грош. коштів'!D11</f>
        <v>114814.6</v>
      </c>
      <c r="E98" s="24" t="n">
        <f aca="false">'ІІІ. Рух грош. коштів'!E11</f>
        <v>32130</v>
      </c>
      <c r="F98" s="24" t="n">
        <f aca="false">'ІІІ. Рух грош. коштів'!F11</f>
        <v>44575</v>
      </c>
      <c r="G98" s="49" t="n">
        <f aca="false">F98-E98</f>
        <v>12445</v>
      </c>
      <c r="H98" s="25" t="n">
        <f aca="false">(F98/E98)*100</f>
        <v>138.733271086212</v>
      </c>
    </row>
    <row r="99" s="18" customFormat="true" ht="18.75" hidden="false" customHeight="false" outlineLevel="0" collapsed="false">
      <c r="A99" s="51" t="s">
        <v>95</v>
      </c>
      <c r="B99" s="53" t="n">
        <v>3195</v>
      </c>
      <c r="C99" s="24" t="n">
        <f aca="false">'ІІІ. Рух грош. коштів'!C38</f>
        <v>-20356.2</v>
      </c>
      <c r="D99" s="24" t="n">
        <f aca="false">'ІІІ. Рух грош. коштів'!D38</f>
        <v>-32500.6</v>
      </c>
      <c r="E99" s="24" t="n">
        <f aca="false">'ІІІ. Рух грош. коштів'!E38</f>
        <v>-6124.8</v>
      </c>
      <c r="F99" s="24" t="n">
        <f aca="false">'ІІІ. Рух грош. коштів'!F38</f>
        <v>-18194.4</v>
      </c>
      <c r="G99" s="49" t="n">
        <f aca="false">F99-E99</f>
        <v>-12069.6</v>
      </c>
      <c r="H99" s="25" t="n">
        <f aca="false">(F99/E99)*100</f>
        <v>297.061128526646</v>
      </c>
    </row>
    <row r="100" customFormat="false" ht="18.75" hidden="false" customHeight="false" outlineLevel="0" collapsed="false">
      <c r="A100" s="51" t="s">
        <v>96</v>
      </c>
      <c r="B100" s="53" t="n">
        <v>3295</v>
      </c>
      <c r="C100" s="24" t="n">
        <f aca="false">'ІІІ. Рух грош. коштів'!C57</f>
        <v>-1672</v>
      </c>
      <c r="D100" s="24" t="n">
        <f aca="false">'ІІІ. Рух грош. коштів'!D57</f>
        <v>-1128.6</v>
      </c>
      <c r="E100" s="24" t="n">
        <f aca="false">'ІІІ. Рух грош. коштів'!E57</f>
        <v>-35</v>
      </c>
      <c r="F100" s="24" t="n">
        <f aca="false">'ІІІ. Рух грош. коштів'!F57</f>
        <v>-830.900000000002</v>
      </c>
      <c r="G100" s="49" t="n">
        <f aca="false">F100-E100</f>
        <v>-795.900000000002</v>
      </c>
      <c r="H100" s="25" t="n">
        <f aca="false">(F100/E100)*100</f>
        <v>2374</v>
      </c>
    </row>
    <row r="101" s="18" customFormat="true" ht="18.75" hidden="false" customHeight="false" outlineLevel="0" collapsed="false">
      <c r="A101" s="51" t="s">
        <v>97</v>
      </c>
      <c r="B101" s="11" t="n">
        <v>3395</v>
      </c>
      <c r="C101" s="24" t="n">
        <f aca="false">'ІІІ. Рух грош. коштів'!C76</f>
        <v>31</v>
      </c>
      <c r="D101" s="24" t="n">
        <f aca="false">'ІІІ. Рух грош. коштів'!D76</f>
        <v>58</v>
      </c>
      <c r="E101" s="24" t="n">
        <f aca="false">'ІІІ. Рух грош. коштів'!E76</f>
        <v>0</v>
      </c>
      <c r="F101" s="24" t="n">
        <f aca="false">'ІІІ. Рух грош. коштів'!F76</f>
        <v>58</v>
      </c>
      <c r="G101" s="49" t="n">
        <f aca="false">F101-E101</f>
        <v>58</v>
      </c>
      <c r="H101" s="25" t="e">
        <f aca="false">(F101/E101)*100</f>
        <v>#DIV/0!</v>
      </c>
    </row>
    <row r="102" s="18" customFormat="true" ht="18.75" hidden="false" customHeight="false" outlineLevel="0" collapsed="false">
      <c r="A102" s="51" t="s">
        <v>98</v>
      </c>
      <c r="B102" s="11" t="n">
        <v>3410</v>
      </c>
      <c r="C102" s="24" t="n">
        <f aca="false">'ІІІ. Рух грош. коштів'!C79</f>
        <v>0</v>
      </c>
      <c r="D102" s="24" t="n">
        <f aca="false">'ІІІ. Рух грош. коштів'!D79</f>
        <v>0</v>
      </c>
      <c r="E102" s="24" t="n">
        <f aca="false">'ІІІ. Рух грош. коштів'!E79</f>
        <v>0</v>
      </c>
      <c r="F102" s="24" t="n">
        <f aca="false">'ІІІ. Рух грош. коштів'!F79</f>
        <v>0</v>
      </c>
      <c r="G102" s="49" t="n">
        <f aca="false">F102-E102</f>
        <v>0</v>
      </c>
      <c r="H102" s="25" t="e">
        <f aca="false">(F102/E102)*100</f>
        <v>#DIV/0!</v>
      </c>
    </row>
    <row r="103" s="18" customFormat="true" ht="19.5" hidden="false" customHeight="false" outlineLevel="0" collapsed="false">
      <c r="A103" s="54" t="s">
        <v>99</v>
      </c>
      <c r="B103" s="36" t="n">
        <v>3415</v>
      </c>
      <c r="C103" s="28" t="n">
        <f aca="false">SUM(C97,C99:C102)</f>
        <v>-19386.3</v>
      </c>
      <c r="D103" s="28" t="n">
        <f aca="false">SUM(D97,D99:D102)</f>
        <v>-24857.4</v>
      </c>
      <c r="E103" s="28" t="n">
        <f aca="false">SUM(E97,E99:E102)</f>
        <v>-2992.4</v>
      </c>
      <c r="F103" s="28" t="n">
        <f aca="false">SUM(F97,F99:F102)</f>
        <v>-10329.4</v>
      </c>
      <c r="G103" s="33" t="n">
        <f aca="false">F103-E103</f>
        <v>-7337.00000000002</v>
      </c>
      <c r="H103" s="22" t="n">
        <f aca="false">(F103/E103)*100</f>
        <v>345.187809116429</v>
      </c>
    </row>
    <row r="104" s="18" customFormat="true" ht="19.5" hidden="false" customHeight="true" outlineLevel="0" collapsed="false">
      <c r="A104" s="55" t="s">
        <v>100</v>
      </c>
      <c r="B104" s="55"/>
      <c r="C104" s="55"/>
      <c r="D104" s="55"/>
      <c r="E104" s="55"/>
      <c r="F104" s="55"/>
      <c r="G104" s="55"/>
      <c r="H104" s="55"/>
    </row>
    <row r="105" s="18" customFormat="true" ht="20.1" hidden="false" customHeight="true" outlineLevel="0" collapsed="false">
      <c r="A105" s="52" t="s">
        <v>101</v>
      </c>
      <c r="B105" s="56" t="n">
        <v>4000</v>
      </c>
      <c r="C105" s="57" t="n">
        <f aca="false">SUM(C106:C111)</f>
        <v>10619.8</v>
      </c>
      <c r="D105" s="57" t="n">
        <f aca="false">SUM(D106:D111)</f>
        <v>53371.8</v>
      </c>
      <c r="E105" s="57" t="n">
        <f aca="false">SUM(E106:E111)</f>
        <v>2939</v>
      </c>
      <c r="F105" s="57" t="n">
        <f aca="false">SUM(F106:F111)</f>
        <v>20122.9</v>
      </c>
      <c r="G105" s="33" t="n">
        <f aca="false">F105-E105</f>
        <v>17183.9</v>
      </c>
      <c r="H105" s="22" t="n">
        <f aca="false">(F105/E105)*100</f>
        <v>684.685267097652</v>
      </c>
    </row>
    <row r="106" s="18" customFormat="true" ht="20.1" hidden="false" customHeight="true" outlineLevel="0" collapsed="false">
      <c r="A106" s="29" t="s">
        <v>102</v>
      </c>
      <c r="B106" s="58" t="s">
        <v>103</v>
      </c>
      <c r="C106" s="24" t="n">
        <f aca="false">'IV. Кап. інвестиції'!C7</f>
        <v>0</v>
      </c>
      <c r="D106" s="24" t="n">
        <f aca="false">'IV. Кап. інвестиції'!D7</f>
        <v>0</v>
      </c>
      <c r="E106" s="24" t="n">
        <f aca="false">'IV. Кап. інвестиції'!E7</f>
        <v>0</v>
      </c>
      <c r="F106" s="24" t="n">
        <f aca="false">'IV. Кап. інвестиції'!F7</f>
        <v>0</v>
      </c>
      <c r="G106" s="49" t="n">
        <f aca="false">F106-E106</f>
        <v>0</v>
      </c>
      <c r="H106" s="25" t="e">
        <f aca="false">(F106/E106)*100</f>
        <v>#DIV/0!</v>
      </c>
    </row>
    <row r="107" s="18" customFormat="true" ht="20.1" hidden="false" customHeight="true" outlineLevel="0" collapsed="false">
      <c r="A107" s="29" t="s">
        <v>104</v>
      </c>
      <c r="B107" s="58" t="n">
        <v>4020</v>
      </c>
      <c r="C107" s="24" t="n">
        <f aca="false">'IV. Кап. інвестиції'!C8</f>
        <v>4117.1</v>
      </c>
      <c r="D107" s="24" t="n">
        <f aca="false">'IV. Кап. інвестиції'!D8</f>
        <v>52420.9</v>
      </c>
      <c r="E107" s="24" t="n">
        <f aca="false">'IV. Кап. інвестиції'!E8</f>
        <v>1660</v>
      </c>
      <c r="F107" s="24" t="n">
        <f aca="false">'IV. Кап. інвестиції'!F8</f>
        <v>19476.5</v>
      </c>
      <c r="G107" s="49" t="n">
        <f aca="false">F107-E107</f>
        <v>17816.5</v>
      </c>
      <c r="H107" s="25" t="n">
        <f aca="false">(F107/E107)*100</f>
        <v>1173.28313253012</v>
      </c>
    </row>
    <row r="108" s="18" customFormat="true" ht="20.1" hidden="false" customHeight="true" outlineLevel="0" collapsed="false">
      <c r="A108" s="29" t="s">
        <v>105</v>
      </c>
      <c r="B108" s="58" t="n">
        <v>4030</v>
      </c>
      <c r="C108" s="24" t="n">
        <f aca="false">'IV. Кап. інвестиції'!C9</f>
        <v>763.7</v>
      </c>
      <c r="D108" s="24" t="n">
        <f aca="false">'IV. Кап. інвестиції'!D9</f>
        <v>420.9</v>
      </c>
      <c r="E108" s="24" t="n">
        <f aca="false">'IV. Кап. інвестиції'!E9</f>
        <v>48</v>
      </c>
      <c r="F108" s="24" t="n">
        <f aca="false">'IV. Кап. інвестиції'!F9</f>
        <v>149.4</v>
      </c>
      <c r="G108" s="49" t="n">
        <f aca="false">F108-E108</f>
        <v>101.4</v>
      </c>
      <c r="H108" s="25" t="n">
        <f aca="false">(F108/E108)*100</f>
        <v>311.25</v>
      </c>
    </row>
    <row r="109" s="18" customFormat="true" ht="18.75" hidden="false" customHeight="false" outlineLevel="0" collapsed="false">
      <c r="A109" s="29" t="s">
        <v>106</v>
      </c>
      <c r="B109" s="58" t="n">
        <v>4040</v>
      </c>
      <c r="C109" s="24" t="n">
        <f aca="false">'IV. Кап. інвестиції'!C10</f>
        <v>5</v>
      </c>
      <c r="D109" s="24" t="n">
        <f aca="false">'IV. Кап. інвестиції'!D10</f>
        <v>17</v>
      </c>
      <c r="E109" s="24" t="n">
        <f aca="false">'IV. Кап. інвестиції'!E10</f>
        <v>3</v>
      </c>
      <c r="F109" s="24" t="n">
        <f aca="false">'IV. Кап. інвестиції'!F10</f>
        <v>0</v>
      </c>
      <c r="G109" s="49" t="n">
        <f aca="false">F109-E109</f>
        <v>-3</v>
      </c>
      <c r="H109" s="25" t="n">
        <f aca="false">(F109/E109)*100</f>
        <v>0</v>
      </c>
    </row>
    <row r="110" s="18" customFormat="true" ht="37.5" hidden="false" customHeight="false" outlineLevel="0" collapsed="false">
      <c r="A110" s="29" t="s">
        <v>107</v>
      </c>
      <c r="B110" s="58" t="n">
        <v>4050</v>
      </c>
      <c r="C110" s="24" t="n">
        <f aca="false">'IV. Кап. інвестиції'!C11</f>
        <v>4821</v>
      </c>
      <c r="D110" s="24" t="n">
        <f aca="false">'IV. Кап. інвестиції'!D11</f>
        <v>82</v>
      </c>
      <c r="E110" s="24" t="n">
        <f aca="false">'IV. Кап. інвестиції'!E11</f>
        <v>1190</v>
      </c>
      <c r="F110" s="24" t="n">
        <f aca="false">'IV. Кап. інвестиції'!F11</f>
        <v>66</v>
      </c>
      <c r="G110" s="49" t="n">
        <f aca="false">F110-E110</f>
        <v>-1124</v>
      </c>
      <c r="H110" s="25" t="n">
        <f aca="false">(F110/E110)*100</f>
        <v>5.54621848739496</v>
      </c>
    </row>
    <row r="111" s="18" customFormat="true" ht="18.75" hidden="false" customHeight="false" outlineLevel="0" collapsed="false">
      <c r="A111" s="29" t="s">
        <v>108</v>
      </c>
      <c r="B111" s="58" t="n">
        <v>4060</v>
      </c>
      <c r="C111" s="24" t="n">
        <f aca="false">'IV. Кап. інвестиції'!C12</f>
        <v>913</v>
      </c>
      <c r="D111" s="24" t="n">
        <f aca="false">'IV. Кап. інвестиції'!D12</f>
        <v>431</v>
      </c>
      <c r="E111" s="24" t="n">
        <f aca="false">'IV. Кап. інвестиції'!E12</f>
        <v>38</v>
      </c>
      <c r="F111" s="24" t="n">
        <f aca="false">'IV. Кап. інвестиції'!F12</f>
        <v>431</v>
      </c>
      <c r="G111" s="49" t="n">
        <f aca="false">F111-E111</f>
        <v>393</v>
      </c>
      <c r="H111" s="25" t="n">
        <f aca="false">(F111/E111)*100</f>
        <v>1134.21052631579</v>
      </c>
    </row>
    <row r="112" s="18" customFormat="true" ht="20.1" hidden="false" customHeight="true" outlineLevel="0" collapsed="false">
      <c r="A112" s="32" t="s">
        <v>109</v>
      </c>
      <c r="B112" s="56" t="n">
        <v>4000</v>
      </c>
      <c r="C112" s="28" t="n">
        <f aca="false">SUM(C113:C116)</f>
        <v>50095</v>
      </c>
      <c r="D112" s="28" t="n">
        <f aca="false">SUM(D113:D116)</f>
        <v>45911</v>
      </c>
      <c r="E112" s="28" t="n">
        <f aca="false">SUM(E113:E116)</f>
        <v>108</v>
      </c>
      <c r="F112" s="28" t="n">
        <f aca="false">SUM(F113:F116)</f>
        <v>46830</v>
      </c>
      <c r="G112" s="33" t="n">
        <f aca="false">F112-E112</f>
        <v>46722</v>
      </c>
      <c r="H112" s="22" t="n">
        <f aca="false">(F112/E112)*100</f>
        <v>43361.1111111111</v>
      </c>
    </row>
    <row r="113" s="18" customFormat="true" ht="20.1" hidden="false" customHeight="true" outlineLevel="0" collapsed="false">
      <c r="A113" s="45" t="s">
        <v>110</v>
      </c>
      <c r="B113" s="59" t="s">
        <v>111</v>
      </c>
      <c r="C113" s="24" t="n">
        <f aca="false">49671</f>
        <v>49671</v>
      </c>
      <c r="D113" s="24" t="n">
        <f aca="false">45087</f>
        <v>45087</v>
      </c>
      <c r="E113" s="24" t="n">
        <f aca="false">'6.2. Інша інфо_2'!M36</f>
        <v>0</v>
      </c>
      <c r="F113" s="24" t="n">
        <f aca="false">'6.2. Інша інфо_2'!N36</f>
        <v>0</v>
      </c>
      <c r="G113" s="49" t="n">
        <f aca="false">F113-E113</f>
        <v>0</v>
      </c>
      <c r="H113" s="25" t="e">
        <f aca="false">(F113/E113)*100</f>
        <v>#DIV/0!</v>
      </c>
    </row>
    <row r="114" s="18" customFormat="true" ht="20.1" hidden="false" customHeight="true" outlineLevel="0" collapsed="false">
      <c r="A114" s="45" t="s">
        <v>112</v>
      </c>
      <c r="B114" s="59" t="s">
        <v>113</v>
      </c>
      <c r="C114" s="24" t="n">
        <f aca="false">424</f>
        <v>424</v>
      </c>
      <c r="D114" s="24" t="n">
        <f aca="false">824</f>
        <v>824</v>
      </c>
      <c r="E114" s="24" t="n">
        <f aca="false">'6.2. Інша інфо_2'!Q36</f>
        <v>0</v>
      </c>
      <c r="F114" s="24" t="n">
        <f aca="false">'6.2. Інша інфо_2'!R36</f>
        <v>46555</v>
      </c>
      <c r="G114" s="49" t="n">
        <f aca="false">F114-E114</f>
        <v>46555</v>
      </c>
      <c r="H114" s="25" t="e">
        <f aca="false">(F114/E114)*100</f>
        <v>#DIV/0!</v>
      </c>
    </row>
    <row r="115" s="18" customFormat="true" ht="20.1" hidden="false" customHeight="true" outlineLevel="0" collapsed="false">
      <c r="A115" s="45" t="s">
        <v>114</v>
      </c>
      <c r="B115" s="59" t="s">
        <v>115</v>
      </c>
      <c r="C115" s="24"/>
      <c r="D115" s="24"/>
      <c r="E115" s="24" t="n">
        <f aca="false">'6.2. Інша інфо_2'!U36</f>
        <v>108</v>
      </c>
      <c r="F115" s="24" t="n">
        <f aca="false">'6.2. Інша інфо_2'!V36</f>
        <v>275</v>
      </c>
      <c r="G115" s="49" t="n">
        <f aca="false">F115-E115</f>
        <v>167</v>
      </c>
      <c r="H115" s="25" t="n">
        <f aca="false">(F115/E115)*100</f>
        <v>254.62962962963</v>
      </c>
    </row>
    <row r="116" s="18" customFormat="true" ht="20.1" hidden="false" customHeight="true" outlineLevel="0" collapsed="false">
      <c r="A116" s="60" t="s">
        <v>116</v>
      </c>
      <c r="B116" s="61" t="s">
        <v>117</v>
      </c>
      <c r="C116" s="62"/>
      <c r="D116" s="62"/>
      <c r="E116" s="62" t="n">
        <f aca="false">'6.2. Інша інфо_2'!Y36</f>
        <v>0</v>
      </c>
      <c r="F116" s="62" t="n">
        <f aca="false">'6.2. Інша інфо_2'!Z36</f>
        <v>0</v>
      </c>
      <c r="G116" s="62" t="n">
        <f aca="false">F116-E116</f>
        <v>0</v>
      </c>
      <c r="H116" s="63" t="e">
        <f aca="false">(F116/E116)*100</f>
        <v>#DIV/0!</v>
      </c>
    </row>
    <row r="117" s="18" customFormat="true" ht="19.5" hidden="false" customHeight="true" outlineLevel="0" collapsed="false">
      <c r="A117" s="64" t="s">
        <v>118</v>
      </c>
      <c r="B117" s="64"/>
      <c r="C117" s="64"/>
      <c r="D117" s="64"/>
      <c r="E117" s="64"/>
      <c r="F117" s="64"/>
      <c r="G117" s="64"/>
      <c r="H117" s="64"/>
    </row>
    <row r="118" s="18" customFormat="true" ht="18.75" hidden="false" customHeight="false" outlineLevel="0" collapsed="false">
      <c r="A118" s="65" t="s">
        <v>119</v>
      </c>
      <c r="B118" s="44" t="n">
        <v>5040</v>
      </c>
      <c r="C118" s="66" t="n">
        <f aca="false">(C53/C21)*100</f>
        <v>2.68887544978186</v>
      </c>
      <c r="D118" s="66" t="n">
        <f aca="false">(D53/D21)*100</f>
        <v>-8.8987821817102</v>
      </c>
      <c r="E118" s="67" t="s">
        <v>120</v>
      </c>
      <c r="F118" s="67" t="s">
        <v>120</v>
      </c>
      <c r="G118" s="68"/>
      <c r="H118" s="69"/>
    </row>
    <row r="119" s="18" customFormat="true" ht="18.75" hidden="false" customHeight="false" outlineLevel="0" collapsed="false">
      <c r="A119" s="65" t="s">
        <v>121</v>
      </c>
      <c r="B119" s="44" t="n">
        <v>5020</v>
      </c>
      <c r="C119" s="66" t="n">
        <f aca="false">(C53/C130)*100</f>
        <v>0.0685383051143449</v>
      </c>
      <c r="D119" s="66" t="n">
        <f aca="false">(D53/D130)*100</f>
        <v>-0.304697828582736</v>
      </c>
      <c r="E119" s="67" t="s">
        <v>120</v>
      </c>
      <c r="F119" s="67" t="s">
        <v>120</v>
      </c>
      <c r="G119" s="68"/>
      <c r="H119" s="69"/>
    </row>
    <row r="120" s="18" customFormat="true" ht="18.75" hidden="false" customHeight="false" outlineLevel="0" collapsed="false">
      <c r="A120" s="51" t="s">
        <v>122</v>
      </c>
      <c r="B120" s="11" t="n">
        <v>5030</v>
      </c>
      <c r="C120" s="70" t="n">
        <f aca="false">(C53/C136)*100</f>
        <v>0.0690514126474926</v>
      </c>
      <c r="D120" s="70" t="n">
        <f aca="false">(D53/D136)*100</f>
        <v>-0.307450373417185</v>
      </c>
      <c r="E120" s="67" t="s">
        <v>120</v>
      </c>
      <c r="F120" s="67" t="s">
        <v>120</v>
      </c>
      <c r="G120" s="68"/>
      <c r="H120" s="69"/>
    </row>
    <row r="121" s="18" customFormat="true" ht="18.75" hidden="false" customHeight="false" outlineLevel="0" collapsed="false">
      <c r="A121" s="71" t="s">
        <v>123</v>
      </c>
      <c r="B121" s="53" t="n">
        <v>5110</v>
      </c>
      <c r="C121" s="72" t="n">
        <f aca="false">C136/C133</f>
        <v>133.599086881837</v>
      </c>
      <c r="D121" s="72" t="n">
        <f aca="false">D136/D133</f>
        <v>110.810788128481</v>
      </c>
      <c r="E121" s="67" t="s">
        <v>120</v>
      </c>
      <c r="F121" s="67" t="s">
        <v>120</v>
      </c>
      <c r="G121" s="68"/>
      <c r="H121" s="69"/>
    </row>
    <row r="122" s="18" customFormat="true" ht="21.75" hidden="false" customHeight="true" outlineLevel="0" collapsed="false">
      <c r="A122" s="73" t="s">
        <v>124</v>
      </c>
      <c r="B122" s="74" t="n">
        <v>5220</v>
      </c>
      <c r="C122" s="75" t="n">
        <f aca="false">C127/C126</f>
        <v>0.549666237466612</v>
      </c>
      <c r="D122" s="75" t="n">
        <f aca="false">D127/D126</f>
        <v>0.541513779240935</v>
      </c>
      <c r="E122" s="67" t="s">
        <v>120</v>
      </c>
      <c r="F122" s="67" t="s">
        <v>120</v>
      </c>
      <c r="G122" s="76"/>
      <c r="H122" s="77"/>
    </row>
    <row r="123" s="18" customFormat="true" ht="19.5" hidden="false" customHeight="true" outlineLevel="0" collapsed="false">
      <c r="A123" s="17" t="s">
        <v>125</v>
      </c>
      <c r="B123" s="17"/>
      <c r="C123" s="17"/>
      <c r="D123" s="17"/>
      <c r="E123" s="17"/>
      <c r="F123" s="17"/>
      <c r="G123" s="17"/>
      <c r="H123" s="17"/>
    </row>
    <row r="124" s="18" customFormat="true" ht="20.1" hidden="false" customHeight="true" outlineLevel="0" collapsed="false">
      <c r="A124" s="65" t="s">
        <v>126</v>
      </c>
      <c r="B124" s="44" t="n">
        <v>6000</v>
      </c>
      <c r="C124" s="24" t="n">
        <f aca="false">5896537+19</f>
        <v>5896556</v>
      </c>
      <c r="D124" s="24" t="n">
        <f aca="false">5808788+23</f>
        <v>5808811</v>
      </c>
      <c r="E124" s="67" t="s">
        <v>120</v>
      </c>
      <c r="F124" s="67" t="s">
        <v>120</v>
      </c>
      <c r="G124" s="49" t="n">
        <f aca="false">D124-C124</f>
        <v>-87745</v>
      </c>
      <c r="H124" s="25" t="n">
        <f aca="false">(D124/C124)*100</f>
        <v>98.5119279796546</v>
      </c>
    </row>
    <row r="125" s="18" customFormat="true" ht="20.1" hidden="false" customHeight="true" outlineLevel="0" collapsed="false">
      <c r="A125" s="65" t="s">
        <v>127</v>
      </c>
      <c r="B125" s="44" t="n">
        <v>6001</v>
      </c>
      <c r="C125" s="78" t="n">
        <f aca="false">C126-C127</f>
        <v>5891831</v>
      </c>
      <c r="D125" s="78" t="n">
        <f aca="false">D126-D127</f>
        <v>5721428</v>
      </c>
      <c r="E125" s="67" t="s">
        <v>120</v>
      </c>
      <c r="F125" s="67" t="s">
        <v>120</v>
      </c>
      <c r="G125" s="49" t="n">
        <f aca="false">D125-C125</f>
        <v>-170403</v>
      </c>
      <c r="H125" s="25" t="n">
        <f aca="false">(D125/C125)*100</f>
        <v>97.1078091004308</v>
      </c>
    </row>
    <row r="126" s="18" customFormat="true" ht="20.1" hidden="false" customHeight="true" outlineLevel="0" collapsed="false">
      <c r="A126" s="65" t="s">
        <v>128</v>
      </c>
      <c r="B126" s="44" t="n">
        <v>6002</v>
      </c>
      <c r="C126" s="24" t="n">
        <f aca="false">13080308+95+2851</f>
        <v>13083254</v>
      </c>
      <c r="D126" s="24" t="n">
        <f aca="false">12475998+99+2856</f>
        <v>12478953</v>
      </c>
      <c r="E126" s="67" t="s">
        <v>120</v>
      </c>
      <c r="F126" s="67" t="s">
        <v>120</v>
      </c>
      <c r="G126" s="49" t="n">
        <f aca="false">D126-C126</f>
        <v>-604301</v>
      </c>
      <c r="H126" s="25" t="n">
        <f aca="false">(D126/C126)*100</f>
        <v>95.3811108459715</v>
      </c>
    </row>
    <row r="127" s="18" customFormat="true" ht="20.1" hidden="false" customHeight="true" outlineLevel="0" collapsed="false">
      <c r="A127" s="65" t="s">
        <v>129</v>
      </c>
      <c r="B127" s="44" t="n">
        <v>6003</v>
      </c>
      <c r="C127" s="24" t="n">
        <f aca="false">7188677+76+2670</f>
        <v>7191423</v>
      </c>
      <c r="D127" s="24" t="n">
        <f aca="false">6754768+76+2681</f>
        <v>6757525</v>
      </c>
      <c r="E127" s="67" t="s">
        <v>120</v>
      </c>
      <c r="F127" s="67" t="s">
        <v>120</v>
      </c>
      <c r="G127" s="49" t="n">
        <f aca="false">D127-C127</f>
        <v>-433898</v>
      </c>
      <c r="H127" s="25" t="n">
        <f aca="false">(D127/C127)*100</f>
        <v>93.9664514241479</v>
      </c>
    </row>
    <row r="128" s="18" customFormat="true" ht="20.1" hidden="false" customHeight="true" outlineLevel="0" collapsed="false">
      <c r="A128" s="51" t="s">
        <v>130</v>
      </c>
      <c r="B128" s="11" t="n">
        <v>6010</v>
      </c>
      <c r="C128" s="24" t="n">
        <f aca="false">58424+1</f>
        <v>58425</v>
      </c>
      <c r="D128" s="24" t="n">
        <f aca="false">82624+28</f>
        <v>82652</v>
      </c>
      <c r="E128" s="67" t="s">
        <v>120</v>
      </c>
      <c r="F128" s="67" t="s">
        <v>120</v>
      </c>
      <c r="G128" s="49" t="n">
        <f aca="false">D128-C128</f>
        <v>24227</v>
      </c>
      <c r="H128" s="25" t="n">
        <f aca="false">(D128/C128)*100</f>
        <v>141.466837826273</v>
      </c>
    </row>
    <row r="129" s="18" customFormat="true" ht="19.35" hidden="false" customHeight="false" outlineLevel="0" collapsed="false">
      <c r="A129" s="51" t="s">
        <v>131</v>
      </c>
      <c r="B129" s="11" t="n">
        <v>6011</v>
      </c>
      <c r="C129" s="24" t="n">
        <f aca="false">1012+1+22</f>
        <v>1035</v>
      </c>
      <c r="D129" s="24" t="n">
        <f aca="false">3897+28+6</f>
        <v>3931</v>
      </c>
      <c r="E129" s="67" t="s">
        <v>120</v>
      </c>
      <c r="F129" s="67" t="s">
        <v>120</v>
      </c>
      <c r="G129" s="49" t="n">
        <f aca="false">D129-C129</f>
        <v>2896</v>
      </c>
      <c r="H129" s="25" t="n">
        <f aca="false">(D129/C129)*100</f>
        <v>379.806763285024</v>
      </c>
    </row>
    <row r="130" s="18" customFormat="true" ht="20.1" hidden="false" customHeight="true" outlineLevel="0" collapsed="false">
      <c r="A130" s="32" t="s">
        <v>132</v>
      </c>
      <c r="B130" s="36" t="n">
        <v>6020</v>
      </c>
      <c r="C130" s="21" t="n">
        <f aca="false">5954961+8+241</f>
        <v>5955210</v>
      </c>
      <c r="D130" s="21" t="n">
        <f aca="false">5861784+55+231</f>
        <v>5862070</v>
      </c>
      <c r="E130" s="79" t="s">
        <v>120</v>
      </c>
      <c r="F130" s="79" t="s">
        <v>120</v>
      </c>
      <c r="G130" s="33" t="n">
        <f aca="false">D130-C130</f>
        <v>-93140</v>
      </c>
      <c r="H130" s="22" t="n">
        <f aca="false">(D130/C130)*100</f>
        <v>98.435991342035</v>
      </c>
    </row>
    <row r="131" s="18" customFormat="true" ht="20.1" hidden="false" customHeight="true" outlineLevel="0" collapsed="false">
      <c r="A131" s="51" t="s">
        <v>133</v>
      </c>
      <c r="B131" s="11" t="n">
        <v>6030</v>
      </c>
      <c r="C131" s="24" t="n">
        <f aca="false">1521</f>
        <v>1521</v>
      </c>
      <c r="D131" s="24" t="n">
        <f aca="false">1670</f>
        <v>1670</v>
      </c>
      <c r="E131" s="67" t="s">
        <v>120</v>
      </c>
      <c r="F131" s="67" t="s">
        <v>120</v>
      </c>
      <c r="G131" s="49" t="n">
        <f aca="false">D131-C131</f>
        <v>149</v>
      </c>
      <c r="H131" s="25" t="n">
        <f aca="false">(D131/C131)*100</f>
        <v>109.796186719264</v>
      </c>
    </row>
    <row r="132" s="18" customFormat="true" ht="20.1" hidden="false" customHeight="true" outlineLevel="0" collapsed="false">
      <c r="A132" s="51" t="s">
        <v>134</v>
      </c>
      <c r="B132" s="11" t="n">
        <v>6040</v>
      </c>
      <c r="C132" s="24" t="n">
        <f aca="false">42499+1+223</f>
        <v>42723</v>
      </c>
      <c r="D132" s="24" t="n">
        <f aca="false">50555+1+202</f>
        <v>50758</v>
      </c>
      <c r="E132" s="67" t="s">
        <v>120</v>
      </c>
      <c r="F132" s="67" t="s">
        <v>120</v>
      </c>
      <c r="G132" s="49" t="n">
        <f aca="false">D132-C132</f>
        <v>8035</v>
      </c>
      <c r="H132" s="25" t="n">
        <f aca="false">(D132/C132)*100</f>
        <v>118.807199868923</v>
      </c>
    </row>
    <row r="133" s="18" customFormat="true" ht="20.1" hidden="false" customHeight="true" outlineLevel="0" collapsed="false">
      <c r="A133" s="32" t="s">
        <v>135</v>
      </c>
      <c r="B133" s="36" t="n">
        <v>6050</v>
      </c>
      <c r="C133" s="80" t="n">
        <f aca="false">SUM(C131:C132)</f>
        <v>44244</v>
      </c>
      <c r="D133" s="80" t="n">
        <f aca="false">SUM(D131:D132)</f>
        <v>52428</v>
      </c>
      <c r="E133" s="79" t="s">
        <v>120</v>
      </c>
      <c r="F133" s="79" t="s">
        <v>120</v>
      </c>
      <c r="G133" s="33" t="n">
        <f aca="false">D133-C133</f>
        <v>8184</v>
      </c>
      <c r="H133" s="22" t="n">
        <f aca="false">(D133/C133)*100</f>
        <v>118.497423379441</v>
      </c>
    </row>
    <row r="134" s="18" customFormat="true" ht="20.1" hidden="false" customHeight="true" outlineLevel="0" collapsed="false">
      <c r="A134" s="51" t="s">
        <v>136</v>
      </c>
      <c r="B134" s="11" t="n">
        <v>6060</v>
      </c>
      <c r="C134" s="24"/>
      <c r="D134" s="24"/>
      <c r="E134" s="67" t="s">
        <v>120</v>
      </c>
      <c r="F134" s="67" t="s">
        <v>120</v>
      </c>
      <c r="G134" s="49" t="n">
        <f aca="false">D134-C134</f>
        <v>0</v>
      </c>
      <c r="H134" s="25" t="e">
        <f aca="false">(D134/C134)*100</f>
        <v>#DIV/0!</v>
      </c>
    </row>
    <row r="135" s="18" customFormat="true" ht="18.75" hidden="false" customHeight="false" outlineLevel="0" collapsed="false">
      <c r="A135" s="51" t="s">
        <v>137</v>
      </c>
      <c r="B135" s="11" t="n">
        <v>6070</v>
      </c>
      <c r="C135" s="24"/>
      <c r="D135" s="24"/>
      <c r="E135" s="67" t="s">
        <v>120</v>
      </c>
      <c r="F135" s="67" t="s">
        <v>120</v>
      </c>
      <c r="G135" s="49" t="n">
        <f aca="false">D135-C135</f>
        <v>0</v>
      </c>
      <c r="H135" s="25" t="e">
        <f aca="false">(D135/C135)*100</f>
        <v>#DIV/0!</v>
      </c>
    </row>
    <row r="136" s="18" customFormat="true" ht="20.1" hidden="false" customHeight="true" outlineLevel="0" collapsed="false">
      <c r="A136" s="32" t="s">
        <v>138</v>
      </c>
      <c r="B136" s="36" t="n">
        <v>6080</v>
      </c>
      <c r="C136" s="21" t="n">
        <f aca="false">5910941+17</f>
        <v>5910958</v>
      </c>
      <c r="D136" s="21" t="n">
        <f aca="false">5809559+29</f>
        <v>5809588</v>
      </c>
      <c r="E136" s="79" t="s">
        <v>120</v>
      </c>
      <c r="F136" s="79" t="s">
        <v>120</v>
      </c>
      <c r="G136" s="33" t="n">
        <f aca="false">D136-C136</f>
        <v>-101370</v>
      </c>
      <c r="H136" s="22" t="n">
        <f aca="false">(D136/C136)*100</f>
        <v>98.2850495638778</v>
      </c>
    </row>
    <row r="137" s="18" customFormat="true" ht="19.5" hidden="false" customHeight="true" outlineLevel="0" collapsed="false">
      <c r="A137" s="55" t="s">
        <v>139</v>
      </c>
      <c r="B137" s="55"/>
      <c r="C137" s="55"/>
      <c r="D137" s="55"/>
      <c r="E137" s="55"/>
      <c r="F137" s="55"/>
      <c r="G137" s="55"/>
      <c r="H137" s="55"/>
    </row>
    <row r="138" s="18" customFormat="true" ht="20.1" hidden="false" customHeight="true" outlineLevel="0" collapsed="false">
      <c r="A138" s="52" t="s">
        <v>140</v>
      </c>
      <c r="B138" s="81" t="s">
        <v>141</v>
      </c>
      <c r="C138" s="57" t="n">
        <f aca="false">SUM(C139:C141)</f>
        <v>0</v>
      </c>
      <c r="D138" s="57" t="n">
        <f aca="false">SUM(D139:D141)</f>
        <v>0</v>
      </c>
      <c r="E138" s="57" t="n">
        <f aca="false">SUM(E139:E141)</f>
        <v>0</v>
      </c>
      <c r="F138" s="57" t="n">
        <f aca="false">SUM(F139:F141)</f>
        <v>0</v>
      </c>
      <c r="G138" s="21" t="n">
        <f aca="false">F138-E138</f>
        <v>0</v>
      </c>
      <c r="H138" s="22" t="e">
        <f aca="false">(F138/E138)*100</f>
        <v>#DIV/0!</v>
      </c>
    </row>
    <row r="139" s="18" customFormat="true" ht="20.1" hidden="false" customHeight="true" outlineLevel="0" collapsed="false">
      <c r="A139" s="51" t="s">
        <v>142</v>
      </c>
      <c r="B139" s="82" t="s">
        <v>143</v>
      </c>
      <c r="C139" s="49"/>
      <c r="D139" s="49"/>
      <c r="E139" s="24" t="n">
        <f aca="false">'6.1. Інша інфо_1'!F75</f>
        <v>0</v>
      </c>
      <c r="F139" s="24" t="n">
        <f aca="false">'6.1. Інша інфо_1'!H75</f>
        <v>0</v>
      </c>
      <c r="G139" s="24" t="n">
        <f aca="false">F139-E139</f>
        <v>0</v>
      </c>
      <c r="H139" s="25" t="e">
        <f aca="false">(F139/E139)*100</f>
        <v>#DIV/0!</v>
      </c>
    </row>
    <row r="140" s="18" customFormat="true" ht="20.1" hidden="false" customHeight="true" outlineLevel="0" collapsed="false">
      <c r="A140" s="51" t="s">
        <v>144</v>
      </c>
      <c r="B140" s="82" t="s">
        <v>145</v>
      </c>
      <c r="C140" s="49"/>
      <c r="D140" s="49"/>
      <c r="E140" s="24" t="n">
        <f aca="false">'6.1. Інша інфо_1'!F78</f>
        <v>0</v>
      </c>
      <c r="F140" s="24" t="n">
        <f aca="false">'6.1. Інша інфо_1'!H78</f>
        <v>0</v>
      </c>
      <c r="G140" s="24" t="n">
        <f aca="false">F140-E140</f>
        <v>0</v>
      </c>
      <c r="H140" s="25" t="e">
        <f aca="false">(F140/E140)*100</f>
        <v>#DIV/0!</v>
      </c>
    </row>
    <row r="141" s="18" customFormat="true" ht="20.1" hidden="false" customHeight="true" outlineLevel="0" collapsed="false">
      <c r="A141" s="51" t="s">
        <v>146</v>
      </c>
      <c r="B141" s="82" t="s">
        <v>147</v>
      </c>
      <c r="C141" s="49"/>
      <c r="D141" s="49"/>
      <c r="E141" s="24" t="n">
        <f aca="false">'6.1. Інша інфо_1'!F81</f>
        <v>0</v>
      </c>
      <c r="F141" s="24" t="n">
        <f aca="false">'6.1. Інша інфо_1'!H81</f>
        <v>0</v>
      </c>
      <c r="G141" s="24" t="n">
        <f aca="false">F141-E141</f>
        <v>0</v>
      </c>
      <c r="H141" s="25" t="e">
        <f aca="false">(F141/E141)*100</f>
        <v>#DIV/0!</v>
      </c>
    </row>
    <row r="142" s="18" customFormat="true" ht="20.1" hidden="false" customHeight="true" outlineLevel="0" collapsed="false">
      <c r="A142" s="32" t="s">
        <v>148</v>
      </c>
      <c r="B142" s="83" t="s">
        <v>149</v>
      </c>
      <c r="C142" s="28" t="n">
        <f aca="false">SUM(C143:C145)</f>
        <v>0</v>
      </c>
      <c r="D142" s="28" t="n">
        <f aca="false">SUM(D143:D145)</f>
        <v>0</v>
      </c>
      <c r="E142" s="28" t="n">
        <f aca="false">SUM(E143:E145)</f>
        <v>0</v>
      </c>
      <c r="F142" s="28" t="n">
        <f aca="false">SUM(F143:F145)</f>
        <v>0</v>
      </c>
      <c r="G142" s="21" t="n">
        <f aca="false">F142-E142</f>
        <v>0</v>
      </c>
      <c r="H142" s="22" t="e">
        <f aca="false">(F142/E142)*100</f>
        <v>#DIV/0!</v>
      </c>
    </row>
    <row r="143" s="18" customFormat="true" ht="20.1" hidden="false" customHeight="true" outlineLevel="0" collapsed="false">
      <c r="A143" s="51" t="s">
        <v>142</v>
      </c>
      <c r="B143" s="82" t="s">
        <v>150</v>
      </c>
      <c r="C143" s="84"/>
      <c r="D143" s="84"/>
      <c r="E143" s="24" t="n">
        <f aca="false">'6.1. Інша інфо_1'!J75</f>
        <v>0</v>
      </c>
      <c r="F143" s="24" t="n">
        <f aca="false">'6.1. Інша інфо_1'!L75</f>
        <v>0</v>
      </c>
      <c r="G143" s="24" t="n">
        <f aca="false">F143-E143</f>
        <v>0</v>
      </c>
      <c r="H143" s="25" t="e">
        <f aca="false">(F143/E143)*100</f>
        <v>#DIV/0!</v>
      </c>
    </row>
    <row r="144" s="18" customFormat="true" ht="20.1" hidden="false" customHeight="true" outlineLevel="0" collapsed="false">
      <c r="A144" s="51" t="s">
        <v>144</v>
      </c>
      <c r="B144" s="82" t="s">
        <v>151</v>
      </c>
      <c r="C144" s="84"/>
      <c r="D144" s="84"/>
      <c r="E144" s="24" t="n">
        <f aca="false">'6.1. Інша інфо_1'!J78</f>
        <v>0</v>
      </c>
      <c r="F144" s="24" t="n">
        <f aca="false">'6.1. Інша інфо_1'!L78</f>
        <v>0</v>
      </c>
      <c r="G144" s="24" t="n">
        <f aca="false">F144-E144</f>
        <v>0</v>
      </c>
      <c r="H144" s="25" t="e">
        <f aca="false">(F144/E144)*100</f>
        <v>#DIV/0!</v>
      </c>
    </row>
    <row r="145" s="18" customFormat="true" ht="20.1" hidden="false" customHeight="true" outlineLevel="0" collapsed="false">
      <c r="A145" s="71" t="s">
        <v>146</v>
      </c>
      <c r="B145" s="85" t="s">
        <v>152</v>
      </c>
      <c r="C145" s="84"/>
      <c r="D145" s="84"/>
      <c r="E145" s="24" t="n">
        <f aca="false">'6.1. Інша інфо_1'!J81</f>
        <v>0</v>
      </c>
      <c r="F145" s="24" t="n">
        <f aca="false">'6.1. Інша інфо_1'!L81</f>
        <v>0</v>
      </c>
      <c r="G145" s="24" t="n">
        <f aca="false">F145-E145</f>
        <v>0</v>
      </c>
      <c r="H145" s="25" t="e">
        <f aca="false">(F145/E145)*100</f>
        <v>#DIV/0!</v>
      </c>
    </row>
    <row r="146" s="18" customFormat="true" ht="19.5" hidden="false" customHeight="true" outlineLevel="0" collapsed="false">
      <c r="A146" s="17" t="s">
        <v>153</v>
      </c>
      <c r="B146" s="17"/>
      <c r="C146" s="17"/>
      <c r="D146" s="17"/>
      <c r="E146" s="17"/>
      <c r="F146" s="17"/>
      <c r="G146" s="17"/>
      <c r="H146" s="17"/>
    </row>
    <row r="147" s="18" customFormat="true" ht="60.75" hidden="false" customHeight="true" outlineLevel="0" collapsed="false">
      <c r="A147" s="86" t="s">
        <v>154</v>
      </c>
      <c r="B147" s="83" t="s">
        <v>155</v>
      </c>
      <c r="C147" s="28" t="n">
        <f aca="false">SUM(C148:C152)</f>
        <v>0</v>
      </c>
      <c r="D147" s="28" t="n">
        <f aca="false">SUM(D148:D152)</f>
        <v>0</v>
      </c>
      <c r="E147" s="28" t="n">
        <f aca="false">SUM(E148:E152)</f>
        <v>1923</v>
      </c>
      <c r="F147" s="28" t="n">
        <f aca="false">SUM(F148:F152)</f>
        <v>1694</v>
      </c>
      <c r="G147" s="33" t="n">
        <f aca="false">F147-E147</f>
        <v>-229</v>
      </c>
      <c r="H147" s="22" t="n">
        <f aca="false">(F147/E147)*100</f>
        <v>88.0915236609464</v>
      </c>
    </row>
    <row r="148" s="18" customFormat="true" ht="18.75" hidden="false" customHeight="true" outlineLevel="0" collapsed="false">
      <c r="A148" s="51" t="s">
        <v>156</v>
      </c>
      <c r="B148" s="82" t="s">
        <v>157</v>
      </c>
      <c r="C148" s="87"/>
      <c r="D148" s="87"/>
      <c r="E148" s="47" t="n">
        <f aca="false">'6.1. Інша інфо_1'!F12</f>
        <v>0</v>
      </c>
      <c r="F148" s="47" t="n">
        <f aca="false">'6.1. Інша інфо_1'!I12</f>
        <v>0</v>
      </c>
      <c r="G148" s="49" t="n">
        <f aca="false">F148-E148</f>
        <v>0</v>
      </c>
      <c r="H148" s="25" t="e">
        <f aca="false">(F148/E148)*100</f>
        <v>#DIV/0!</v>
      </c>
    </row>
    <row r="149" s="18" customFormat="true" ht="18.75" hidden="false" customHeight="true" outlineLevel="0" collapsed="false">
      <c r="A149" s="51" t="s">
        <v>158</v>
      </c>
      <c r="B149" s="82" t="s">
        <v>159</v>
      </c>
      <c r="C149" s="87"/>
      <c r="D149" s="87"/>
      <c r="E149" s="47" t="n">
        <f aca="false">'6.1. Інша інфо_1'!F13</f>
        <v>0</v>
      </c>
      <c r="F149" s="47" t="n">
        <f aca="false">'6.1. Інша інфо_1'!I13</f>
        <v>0</v>
      </c>
      <c r="G149" s="49" t="n">
        <f aca="false">F149-E149</f>
        <v>0</v>
      </c>
      <c r="H149" s="25" t="e">
        <f aca="false">(F149/E149)*100</f>
        <v>#DIV/0!</v>
      </c>
    </row>
    <row r="150" s="18" customFormat="true" ht="19.35" hidden="false" customHeight="false" outlineLevel="0" collapsed="false">
      <c r="A150" s="29" t="s">
        <v>160</v>
      </c>
      <c r="B150" s="82" t="s">
        <v>161</v>
      </c>
      <c r="C150" s="87"/>
      <c r="D150" s="87"/>
      <c r="E150" s="47" t="n">
        <f aca="false">'6.1. Інша інфо_1'!F14</f>
        <v>13</v>
      </c>
      <c r="F150" s="47" t="n">
        <f aca="false">'6.1. Інша інфо_1'!I14</f>
        <v>13</v>
      </c>
      <c r="G150" s="49" t="n">
        <f aca="false">F150-E150</f>
        <v>0</v>
      </c>
      <c r="H150" s="25" t="n">
        <f aca="false">(F150/E150)*100</f>
        <v>100</v>
      </c>
    </row>
    <row r="151" s="18" customFormat="true" ht="19.35" hidden="false" customHeight="false" outlineLevel="0" collapsed="false">
      <c r="A151" s="29" t="s">
        <v>162</v>
      </c>
      <c r="B151" s="82" t="s">
        <v>163</v>
      </c>
      <c r="C151" s="87"/>
      <c r="D151" s="87"/>
      <c r="E151" s="47" t="n">
        <f aca="false">'6.1. Інша інфо_1'!F15</f>
        <v>240</v>
      </c>
      <c r="F151" s="47" t="n">
        <f aca="false">'6.1. Інша інфо_1'!I15</f>
        <v>222</v>
      </c>
      <c r="G151" s="49" t="n">
        <f aca="false">F151-E151</f>
        <v>-18</v>
      </c>
      <c r="H151" s="25" t="n">
        <f aca="false">(F151/E151)*100</f>
        <v>92.5</v>
      </c>
    </row>
    <row r="152" s="18" customFormat="true" ht="19.35" hidden="false" customHeight="false" outlineLevel="0" collapsed="false">
      <c r="A152" s="29" t="s">
        <v>164</v>
      </c>
      <c r="B152" s="82" t="s">
        <v>165</v>
      </c>
      <c r="C152" s="87"/>
      <c r="D152" s="87"/>
      <c r="E152" s="47" t="n">
        <f aca="false">'6.1. Інша інфо_1'!F16</f>
        <v>1670</v>
      </c>
      <c r="F152" s="47" t="n">
        <f aca="false">'6.1. Інша інфо_1'!I16</f>
        <v>1459</v>
      </c>
      <c r="G152" s="49" t="n">
        <f aca="false">F152-E152</f>
        <v>-211</v>
      </c>
      <c r="H152" s="25" t="n">
        <f aca="false">(F152/E152)*100</f>
        <v>87.3652694610778</v>
      </c>
    </row>
    <row r="153" s="18" customFormat="true" ht="20.1" hidden="false" customHeight="true" outlineLevel="0" collapsed="false">
      <c r="A153" s="32" t="s">
        <v>59</v>
      </c>
      <c r="B153" s="83" t="s">
        <v>166</v>
      </c>
      <c r="C153" s="88"/>
      <c r="D153" s="88"/>
      <c r="E153" s="28" t="n">
        <f aca="false">'I. Фін результат'!E94</f>
        <v>42583.6</v>
      </c>
      <c r="F153" s="28" t="n">
        <f aca="false">'I. Фін результат'!F94</f>
        <v>47099</v>
      </c>
      <c r="G153" s="33" t="n">
        <f aca="false">F153-E153</f>
        <v>4515.4</v>
      </c>
      <c r="H153" s="22" t="n">
        <f aca="false">(F153/E153)*100</f>
        <v>110.603612658394</v>
      </c>
    </row>
    <row r="154" s="18" customFormat="true" ht="34.3" hidden="false" customHeight="false" outlineLevel="0" collapsed="false">
      <c r="A154" s="32" t="s">
        <v>167</v>
      </c>
      <c r="B154" s="83" t="s">
        <v>168</v>
      </c>
      <c r="C154" s="88"/>
      <c r="D154" s="88"/>
      <c r="E154" s="28" t="n">
        <f aca="false">'6.1. Інша інфо_1'!F29</f>
        <v>7381.45259143699</v>
      </c>
      <c r="F154" s="28" t="n">
        <f aca="false">'6.1. Інша інфо_1'!I29</f>
        <v>9267.80794962613</v>
      </c>
      <c r="G154" s="33" t="n">
        <f aca="false">F154-E154</f>
        <v>1886.35535818914</v>
      </c>
      <c r="H154" s="22" t="n">
        <f aca="false">(F154/E154)*100</f>
        <v>125.555340697811</v>
      </c>
    </row>
    <row r="155" s="18" customFormat="true" ht="20.1" hidden="false" customHeight="true" outlineLevel="0" collapsed="false">
      <c r="A155" s="51" t="s">
        <v>169</v>
      </c>
      <c r="B155" s="82" t="s">
        <v>170</v>
      </c>
      <c r="C155" s="87"/>
      <c r="D155" s="87"/>
      <c r="E155" s="28" t="e">
        <f aca="false">'6.1. Інша інфо_1'!F30</f>
        <v>#DIV/0!</v>
      </c>
      <c r="F155" s="28" t="e">
        <f aca="false">'6.1. Інша інфо_1'!I30</f>
        <v>#DIV/0!</v>
      </c>
      <c r="G155" s="49" t="e">
        <f aca="false">F155-E155</f>
        <v>#DIV/0!</v>
      </c>
      <c r="H155" s="25" t="e">
        <f aca="false">(F155/E155)*100</f>
        <v>#DIV/0!</v>
      </c>
    </row>
    <row r="156" s="18" customFormat="true" ht="20.1" hidden="false" customHeight="true" outlineLevel="0" collapsed="false">
      <c r="A156" s="51" t="s">
        <v>171</v>
      </c>
      <c r="B156" s="82" t="s">
        <v>172</v>
      </c>
      <c r="C156" s="87"/>
      <c r="D156" s="87"/>
      <c r="E156" s="28" t="e">
        <f aca="false">'6.1. Інша інфо_1'!F31</f>
        <v>#DIV/0!</v>
      </c>
      <c r="F156" s="28" t="e">
        <f aca="false">'6.1. Інша інфо_1'!I31</f>
        <v>#DIV/0!</v>
      </c>
      <c r="G156" s="49" t="e">
        <f aca="false">F156-E156</f>
        <v>#DIV/0!</v>
      </c>
      <c r="H156" s="25" t="e">
        <f aca="false">(F156/E156)*100</f>
        <v>#DIV/0!</v>
      </c>
    </row>
    <row r="157" s="18" customFormat="true" ht="20.1" hidden="false" customHeight="true" outlineLevel="0" collapsed="false">
      <c r="A157" s="29" t="s">
        <v>160</v>
      </c>
      <c r="B157" s="82" t="s">
        <v>173</v>
      </c>
      <c r="C157" s="87"/>
      <c r="D157" s="87"/>
      <c r="E157" s="28" t="n">
        <f aca="false">'6.1. Інша інфо_1'!F32</f>
        <v>18741.0256410256</v>
      </c>
      <c r="F157" s="28" t="n">
        <f aca="false">'6.1. Інша інфо_1'!I32</f>
        <v>24248.7179487179</v>
      </c>
      <c r="G157" s="49" t="n">
        <f aca="false">F157-E157</f>
        <v>5507.69230769231</v>
      </c>
      <c r="H157" s="25" t="n">
        <f aca="false">(F157/E157)*100</f>
        <v>129.38842522917</v>
      </c>
    </row>
    <row r="158" s="18" customFormat="true" ht="20.1" hidden="false" customHeight="true" outlineLevel="0" collapsed="false">
      <c r="A158" s="29" t="s">
        <v>174</v>
      </c>
      <c r="B158" s="82" t="s">
        <v>175</v>
      </c>
      <c r="C158" s="87"/>
      <c r="D158" s="87"/>
      <c r="E158" s="28" t="n">
        <f aca="false">'6.1. Інша інфо_1'!F36</f>
        <v>10250.8333333333</v>
      </c>
      <c r="F158" s="28" t="n">
        <f aca="false">'6.1. Інша інфо_1'!I36</f>
        <v>12758.8588588589</v>
      </c>
      <c r="G158" s="49" t="n">
        <f aca="false">F158-E158</f>
        <v>2508.02552552552</v>
      </c>
      <c r="H158" s="25" t="n">
        <f aca="false">(F158/E158)*100</f>
        <v>124.466552561829</v>
      </c>
    </row>
    <row r="159" s="18" customFormat="true" ht="20.1" hidden="false" customHeight="true" outlineLevel="0" collapsed="false">
      <c r="A159" s="29" t="s">
        <v>176</v>
      </c>
      <c r="B159" s="82" t="s">
        <v>177</v>
      </c>
      <c r="C159" s="87"/>
      <c r="D159" s="87"/>
      <c r="E159" s="28" t="n">
        <f aca="false">'6.1. Інша інфо_1'!F37</f>
        <v>6881.97604790419</v>
      </c>
      <c r="F159" s="28" t="n">
        <f aca="false">'6.1. Інша інфо_1'!I37</f>
        <v>8598.53781128627</v>
      </c>
      <c r="G159" s="49" t="n">
        <f aca="false">F159-E159</f>
        <v>1716.56176338208</v>
      </c>
      <c r="H159" s="25" t="n">
        <f aca="false">(F159/E159)*100</f>
        <v>124.942861634993</v>
      </c>
    </row>
    <row r="160" s="18" customFormat="true" ht="20.1" hidden="false" customHeight="true" outlineLevel="0" collapsed="false">
      <c r="A160" s="89"/>
      <c r="B160" s="90"/>
      <c r="C160" s="91"/>
      <c r="D160" s="91"/>
      <c r="E160" s="92"/>
      <c r="F160" s="92"/>
      <c r="G160" s="92"/>
      <c r="H160" s="93"/>
    </row>
    <row r="161" s="18" customFormat="true" ht="20.1" hidden="false" customHeight="true" outlineLevel="0" collapsed="false">
      <c r="A161" s="89"/>
      <c r="B161" s="90"/>
      <c r="C161" s="91"/>
      <c r="D161" s="91"/>
      <c r="E161" s="92"/>
      <c r="F161" s="92"/>
      <c r="G161" s="92"/>
      <c r="H161" s="93"/>
    </row>
    <row r="162" customFormat="false" ht="18.75" hidden="false" customHeight="false" outlineLevel="0" collapsed="false">
      <c r="A162" s="94"/>
    </row>
    <row r="163" customFormat="false" ht="40.95" hidden="false" customHeight="true" outlineLevel="0" collapsed="false">
      <c r="A163" s="89" t="s">
        <v>178</v>
      </c>
      <c r="C163" s="95" t="s">
        <v>179</v>
      </c>
      <c r="D163" s="95"/>
      <c r="E163" s="95"/>
      <c r="F163" s="95"/>
      <c r="G163" s="96" t="s">
        <v>180</v>
      </c>
      <c r="H163" s="96"/>
    </row>
    <row r="164" s="97" customFormat="true" ht="20.1" hidden="false" customHeight="true" outlineLevel="0" collapsed="false">
      <c r="A164" s="4"/>
      <c r="B164" s="1"/>
      <c r="C164" s="2" t="s">
        <v>181</v>
      </c>
      <c r="D164" s="2"/>
      <c r="E164" s="2"/>
      <c r="F164" s="2"/>
      <c r="G164" s="2"/>
      <c r="H164" s="2"/>
      <c r="I164" s="8"/>
    </row>
  </sheetData>
  <mergeCells count="27">
    <mergeCell ref="F1:H1"/>
    <mergeCell ref="F2:H2"/>
    <mergeCell ref="F3:H3"/>
    <mergeCell ref="F4:H4"/>
    <mergeCell ref="A10:H10"/>
    <mergeCell ref="A11:H11"/>
    <mergeCell ref="A12:H12"/>
    <mergeCell ref="A13:H13"/>
    <mergeCell ref="A15:H15"/>
    <mergeCell ref="A17:A18"/>
    <mergeCell ref="B17:B18"/>
    <mergeCell ref="C17:D17"/>
    <mergeCell ref="E17:H17"/>
    <mergeCell ref="A20:H20"/>
    <mergeCell ref="A68:H68"/>
    <mergeCell ref="A69:H69"/>
    <mergeCell ref="A82:H82"/>
    <mergeCell ref="A96:H96"/>
    <mergeCell ref="A104:H104"/>
    <mergeCell ref="A117:H117"/>
    <mergeCell ref="A123:H123"/>
    <mergeCell ref="A137:H137"/>
    <mergeCell ref="A146:H146"/>
    <mergeCell ref="C163:F163"/>
    <mergeCell ref="G163:H163"/>
    <mergeCell ref="C164:F164"/>
    <mergeCell ref="G164:H164"/>
  </mergeCells>
  <printOptions headings="false" gridLines="false" gridLinesSet="true" horizontalCentered="false" verticalCentered="false"/>
  <pageMargins left="1.18125" right="0.39375" top="0.7875" bottom="0.7875" header="0.315277777777778" footer="0.511805555555555"/>
  <pageSetup paperSize="9" scale="4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Roman,Обычный"&amp;14 &amp;P&amp;R&amp;"Times New Roman,Обычный"&amp;14Продовження додатка 3</oddHeader>
    <oddFooter/>
  </headerFooter>
  <rowBreaks count="3" manualBreakCount="3">
    <brk id="39" man="true" max="16383" min="0"/>
    <brk id="81" man="true" max="16383" min="0"/>
    <brk id="122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O103"/>
  <sheetViews>
    <sheetView windowProtection="false" showFormulas="false" showGridLines="true" showRowColHeaders="true" showZeros="true" rightToLeft="false" tabSelected="false" showOutlineSymbols="true" defaultGridColor="true" view="normal" topLeftCell="A70" colorId="64" zoomScale="55" zoomScaleNormal="55" zoomScalePageLayoutView="100" workbookViewId="0">
      <selection pane="topLeft" activeCell="A1" activeCellId="0" sqref="A1"/>
    </sheetView>
  </sheetViews>
  <sheetFormatPr defaultRowHeight="18.75"/>
  <cols>
    <col collapsed="false" hidden="false" max="1" min="1" style="1" width="92.7397959183674"/>
    <col collapsed="false" hidden="false" max="2" min="2" style="2" width="14.8214285714286"/>
    <col collapsed="false" hidden="false" max="7" min="3" style="2" width="22.3826530612245"/>
    <col collapsed="false" hidden="false" max="8" min="8" style="2" width="19.8163265306122"/>
    <col collapsed="false" hidden="false" max="9" min="9" style="2" width="95.3061224489796"/>
    <col collapsed="false" hidden="false" max="257" min="10" style="1" width="9.11734693877551"/>
    <col collapsed="false" hidden="false" max="1025" min="258" style="0" width="9.11734693877551"/>
  </cols>
  <sheetData>
    <row r="1" customFormat="false" ht="18.75" hidden="false" customHeight="true" outlineLevel="0" collapsed="false">
      <c r="A1" s="98" t="s">
        <v>19</v>
      </c>
      <c r="B1" s="98"/>
      <c r="C1" s="98"/>
      <c r="D1" s="98"/>
      <c r="E1" s="98"/>
      <c r="F1" s="98"/>
      <c r="G1" s="98"/>
      <c r="H1" s="98"/>
      <c r="I1" s="98"/>
    </row>
    <row r="2" customFormat="false" ht="12.75" hidden="false" customHeight="true" outlineLevel="0" collapsed="false">
      <c r="A2" s="98"/>
      <c r="B2" s="99"/>
      <c r="C2" s="99"/>
      <c r="D2" s="99"/>
      <c r="E2" s="99"/>
      <c r="F2" s="99"/>
      <c r="G2" s="99"/>
      <c r="H2" s="99"/>
      <c r="I2" s="99"/>
    </row>
    <row r="3" customFormat="false" ht="39" hidden="false" customHeight="true" outlineLevel="0" collapsed="false">
      <c r="A3" s="11" t="s">
        <v>9</v>
      </c>
      <c r="B3" s="12" t="s">
        <v>10</v>
      </c>
      <c r="C3" s="12" t="s">
        <v>182</v>
      </c>
      <c r="D3" s="12"/>
      <c r="E3" s="11" t="s">
        <v>12</v>
      </c>
      <c r="F3" s="11"/>
      <c r="G3" s="11"/>
      <c r="H3" s="11"/>
      <c r="I3" s="11"/>
    </row>
    <row r="4" customFormat="false" ht="37.5" hidden="false" customHeight="false" outlineLevel="0" collapsed="false">
      <c r="A4" s="11"/>
      <c r="B4" s="12"/>
      <c r="C4" s="12" t="s">
        <v>13</v>
      </c>
      <c r="D4" s="12" t="s">
        <v>14</v>
      </c>
      <c r="E4" s="12" t="s">
        <v>15</v>
      </c>
      <c r="F4" s="12" t="s">
        <v>16</v>
      </c>
      <c r="G4" s="16" t="s">
        <v>17</v>
      </c>
      <c r="H4" s="16" t="s">
        <v>18</v>
      </c>
      <c r="I4" s="12" t="s">
        <v>183</v>
      </c>
    </row>
    <row r="5" customFormat="false" ht="18.75" hidden="false" customHeight="false" outlineLevel="0" collapsed="false">
      <c r="A5" s="11" t="n">
        <v>1</v>
      </c>
      <c r="B5" s="12" t="n">
        <v>2</v>
      </c>
      <c r="C5" s="11" t="n">
        <v>3</v>
      </c>
      <c r="D5" s="12" t="n">
        <v>4</v>
      </c>
      <c r="E5" s="11" t="n">
        <v>5</v>
      </c>
      <c r="F5" s="12" t="n">
        <v>6</v>
      </c>
      <c r="G5" s="11" t="n">
        <v>7</v>
      </c>
      <c r="H5" s="12" t="n">
        <v>8</v>
      </c>
      <c r="I5" s="11" t="n">
        <v>9</v>
      </c>
    </row>
    <row r="6" s="18" customFormat="true" ht="24.95" hidden="false" customHeight="true" outlineLevel="0" collapsed="false">
      <c r="A6" s="31" t="s">
        <v>184</v>
      </c>
      <c r="B6" s="31"/>
      <c r="C6" s="31"/>
      <c r="D6" s="31"/>
      <c r="E6" s="31"/>
      <c r="F6" s="31"/>
      <c r="G6" s="31"/>
      <c r="H6" s="31"/>
      <c r="I6" s="31"/>
    </row>
    <row r="7" s="18" customFormat="true" ht="20.1" hidden="false" customHeight="true" outlineLevel="0" collapsed="false">
      <c r="A7" s="31" t="s">
        <v>20</v>
      </c>
      <c r="B7" s="36" t="n">
        <v>1000</v>
      </c>
      <c r="C7" s="33" t="n">
        <f aca="false">136047+127+508+1405+12252+1456.8</f>
        <v>151795.8</v>
      </c>
      <c r="D7" s="33" t="n">
        <f aca="false">185449+193+559+1414+11574+1530.6</f>
        <v>200719.6</v>
      </c>
      <c r="E7" s="33" t="n">
        <f aca="false">56109+67+180+550+4309+307.6</f>
        <v>61522.6</v>
      </c>
      <c r="F7" s="33" t="n">
        <f aca="false">60777+65+242+406+3945+341.6</f>
        <v>65776.6</v>
      </c>
      <c r="G7" s="33" t="n">
        <f aca="false">F7-E7</f>
        <v>4254.00000000001</v>
      </c>
      <c r="H7" s="100" t="n">
        <f aca="false">(F7/E7)*100</f>
        <v>106.91453222068</v>
      </c>
      <c r="I7" s="101"/>
    </row>
    <row r="8" customFormat="false" ht="20.1" hidden="false" customHeight="true" outlineLevel="0" collapsed="false">
      <c r="A8" s="29" t="s">
        <v>21</v>
      </c>
      <c r="B8" s="11" t="n">
        <v>1010</v>
      </c>
      <c r="C8" s="78" t="n">
        <f aca="false">SUM(C9:C16)</f>
        <v>-200561.2</v>
      </c>
      <c r="D8" s="78" t="n">
        <f aca="false">SUM(D9:D16)</f>
        <v>-276655</v>
      </c>
      <c r="E8" s="78" t="n">
        <f aca="false">SUM(E9:E16)</f>
        <v>-84554.3</v>
      </c>
      <c r="F8" s="78" t="n">
        <f aca="false">SUM(F9:F16)</f>
        <v>-91619.4</v>
      </c>
      <c r="G8" s="49" t="n">
        <f aca="false">F8-E8</f>
        <v>-7065.10000000001</v>
      </c>
      <c r="H8" s="102" t="n">
        <f aca="false">(F8/E8)*100</f>
        <v>108.355695689042</v>
      </c>
      <c r="I8" s="103"/>
    </row>
    <row r="9" s="97" customFormat="true" ht="20.1" hidden="false" customHeight="true" outlineLevel="0" collapsed="false">
      <c r="A9" s="29" t="s">
        <v>185</v>
      </c>
      <c r="B9" s="12" t="n">
        <v>1011</v>
      </c>
      <c r="C9" s="49" t="n">
        <f aca="false">-21477+-21+-21-23.1</f>
        <v>-21542.1</v>
      </c>
      <c r="D9" s="49" t="n">
        <f aca="false">-30600+-24-34.8</f>
        <v>-30658.8</v>
      </c>
      <c r="E9" s="49" t="n">
        <f aca="false">-10018+-13+-13-3</f>
        <v>-10047</v>
      </c>
      <c r="F9" s="49" t="n">
        <f aca="false">-8011+-5-11.2</f>
        <v>-8027.2</v>
      </c>
      <c r="G9" s="49" t="n">
        <f aca="false">F9-E9</f>
        <v>2019.8</v>
      </c>
      <c r="H9" s="102" t="n">
        <f aca="false">(F9/E9)*100</f>
        <v>79.8964865133871</v>
      </c>
      <c r="I9" s="103"/>
    </row>
    <row r="10" s="97" customFormat="true" ht="20.1" hidden="false" customHeight="true" outlineLevel="0" collapsed="false">
      <c r="A10" s="29" t="s">
        <v>186</v>
      </c>
      <c r="B10" s="12" t="n">
        <v>1012</v>
      </c>
      <c r="C10" s="49" t="n">
        <f aca="false">-14984+-34-179.1</f>
        <v>-15197.1</v>
      </c>
      <c r="D10" s="49" t="n">
        <f aca="false">-16228-187.7</f>
        <v>-16415.7</v>
      </c>
      <c r="E10" s="49" t="n">
        <f aca="false">-5138+-6+-20-5.2</f>
        <v>-5169.2</v>
      </c>
      <c r="F10" s="49" t="n">
        <f aca="false">-5595-1.6</f>
        <v>-5596.6</v>
      </c>
      <c r="G10" s="49" t="n">
        <f aca="false">F10-E10</f>
        <v>-427.400000000001</v>
      </c>
      <c r="H10" s="102" t="n">
        <f aca="false">(F10/E10)*100</f>
        <v>108.268203977405</v>
      </c>
      <c r="I10" s="103"/>
    </row>
    <row r="11" s="97" customFormat="true" ht="20.1" hidden="false" customHeight="true" outlineLevel="0" collapsed="false">
      <c r="A11" s="29" t="s">
        <v>187</v>
      </c>
      <c r="B11" s="12" t="n">
        <v>1013</v>
      </c>
      <c r="C11" s="49" t="n">
        <f aca="false">-32871+-18+-1263-303.1</f>
        <v>-34455.1</v>
      </c>
      <c r="D11" s="49" t="n">
        <f aca="false">-35979+-25+-1387-253.2</f>
        <v>-37644.2</v>
      </c>
      <c r="E11" s="49" t="n">
        <f aca="false">-12064+-8+-465-79.5</f>
        <v>-12616.5</v>
      </c>
      <c r="F11" s="49" t="n">
        <f aca="false">-10493+-8+-531-20.2</f>
        <v>-11052.2</v>
      </c>
      <c r="G11" s="49" t="n">
        <f aca="false">F11-E11</f>
        <v>1564.3</v>
      </c>
      <c r="H11" s="102" t="n">
        <f aca="false">(F11/E11)*100</f>
        <v>87.6011572147585</v>
      </c>
      <c r="I11" s="103"/>
    </row>
    <row r="12" s="97" customFormat="true" ht="20.1" hidden="false" customHeight="true" outlineLevel="0" collapsed="false">
      <c r="A12" s="29" t="s">
        <v>59</v>
      </c>
      <c r="B12" s="12" t="n">
        <v>1014</v>
      </c>
      <c r="C12" s="49" t="n">
        <f aca="false">-73918+-59+-368+-827-3128.2</f>
        <v>-78300.2</v>
      </c>
      <c r="D12" s="49" t="n">
        <f aca="false">-109214+-60+-398+-1143-3723.5</f>
        <v>-114538.5</v>
      </c>
      <c r="E12" s="49" t="n">
        <f aca="false">-33804+-20+-135+-394-1051.7</f>
        <v>-35404.7</v>
      </c>
      <c r="F12" s="49" t="n">
        <f aca="false">-36939+-22+-179+-377-1045.9</f>
        <v>-38562.9</v>
      </c>
      <c r="G12" s="49" t="n">
        <f aca="false">F12-E12</f>
        <v>-3158.2</v>
      </c>
      <c r="H12" s="102" t="n">
        <f aca="false">(F12/E12)*100</f>
        <v>108.920284594983</v>
      </c>
      <c r="I12" s="103"/>
    </row>
    <row r="13" s="97" customFormat="true" ht="20.1" hidden="false" customHeight="true" outlineLevel="0" collapsed="false">
      <c r="A13" s="29" t="s">
        <v>60</v>
      </c>
      <c r="B13" s="12" t="n">
        <v>1015</v>
      </c>
      <c r="C13" s="49" t="n">
        <f aca="false">-16017+-10+-67+-182-650.7</f>
        <v>-16926.7</v>
      </c>
      <c r="D13" s="49" t="n">
        <f aca="false">-23479+-9+-73+-245-783.1</f>
        <v>-24589.1</v>
      </c>
      <c r="E13" s="49" t="n">
        <f aca="false">-7426+-4+-30+-87-227.8</f>
        <v>-7774.8</v>
      </c>
      <c r="F13" s="49" t="n">
        <f aca="false">-7948+-3+-32+-81-220.1</f>
        <v>-8284.1</v>
      </c>
      <c r="G13" s="49" t="n">
        <f aca="false">F13-E13</f>
        <v>-509.3</v>
      </c>
      <c r="H13" s="102" t="n">
        <f aca="false">(F13/E13)*100</f>
        <v>106.5506508206</v>
      </c>
      <c r="I13" s="103"/>
    </row>
    <row r="14" s="97" customFormat="true" ht="34.3" hidden="false" customHeight="false" outlineLevel="0" collapsed="false">
      <c r="A14" s="29" t="s">
        <v>188</v>
      </c>
      <c r="B14" s="12" t="n">
        <v>1016</v>
      </c>
      <c r="C14" s="49" t="n">
        <f aca="false">-1266+-6-382.3</f>
        <v>-1654.3</v>
      </c>
      <c r="D14" s="49" t="n">
        <f aca="false">-2746+-33+-48-1563.5</f>
        <v>-4390.5</v>
      </c>
      <c r="E14" s="49" t="n">
        <f aca="false">-380+-3+-13-98.5</f>
        <v>-494.5</v>
      </c>
      <c r="F14" s="49" t="n">
        <f aca="false">-1024+-3+-40-787.6</f>
        <v>-1854.6</v>
      </c>
      <c r="G14" s="49" t="n">
        <f aca="false">F14-E14</f>
        <v>-1360.1</v>
      </c>
      <c r="H14" s="102" t="n">
        <f aca="false">(F14/E14)*100</f>
        <v>375.045500505561</v>
      </c>
      <c r="I14" s="103"/>
    </row>
    <row r="15" s="97" customFormat="true" ht="20.1" hidden="false" customHeight="true" outlineLevel="0" collapsed="false">
      <c r="A15" s="29" t="s">
        <v>189</v>
      </c>
      <c r="B15" s="12" t="n">
        <v>1017</v>
      </c>
      <c r="C15" s="49" t="n">
        <f aca="false">-10440+-1+-11+-63-107</f>
        <v>-10622</v>
      </c>
      <c r="D15" s="49" t="n">
        <f aca="false">-20896+-1+-6+-77-150.3</f>
        <v>-21130.3</v>
      </c>
      <c r="E15" s="49" t="n">
        <f aca="false">-2871+-25+-23-34.6</f>
        <v>-2953.6</v>
      </c>
      <c r="F15" s="49" t="n">
        <f aca="false">-9785+-2+-28-46.6</f>
        <v>-9861.6</v>
      </c>
      <c r="G15" s="49" t="n">
        <f aca="false">F15-E15</f>
        <v>-6908</v>
      </c>
      <c r="H15" s="102" t="n">
        <f aca="false">(F15/E15)*100</f>
        <v>333.884073672806</v>
      </c>
      <c r="I15" s="103"/>
    </row>
    <row r="16" s="97" customFormat="true" ht="20.1" hidden="false" customHeight="true" outlineLevel="0" collapsed="false">
      <c r="A16" s="29" t="s">
        <v>190</v>
      </c>
      <c r="B16" s="12" t="n">
        <v>1018</v>
      </c>
      <c r="C16" s="49" t="n">
        <f aca="false">-17938+-2+-3802-121.7</f>
        <v>-21863.7</v>
      </c>
      <c r="D16" s="49" t="n">
        <f aca="false">-24419+-2676-192.9</f>
        <v>-27287.9</v>
      </c>
      <c r="E16" s="49" t="n">
        <f aca="false">-8489+-200+-1365-40</f>
        <v>-10094</v>
      </c>
      <c r="F16" s="49" t="n">
        <f aca="false">-7415+-886-4-75.2</f>
        <v>-8380.2</v>
      </c>
      <c r="G16" s="49" t="n">
        <f aca="false">F16-E16</f>
        <v>1713.8</v>
      </c>
      <c r="H16" s="102" t="n">
        <f aca="false">(F16/E16)*100</f>
        <v>83.0215969883099</v>
      </c>
      <c r="I16" s="103"/>
    </row>
    <row r="17" s="18" customFormat="true" ht="20.1" hidden="false" customHeight="true" outlineLevel="0" collapsed="false">
      <c r="A17" s="31" t="s">
        <v>191</v>
      </c>
      <c r="B17" s="36" t="n">
        <v>1020</v>
      </c>
      <c r="C17" s="28" t="n">
        <f aca="false">SUM(C7,C8)</f>
        <v>-48765.4</v>
      </c>
      <c r="D17" s="28" t="n">
        <f aca="false">SUM(D7,D8)</f>
        <v>-75935.4</v>
      </c>
      <c r="E17" s="28" t="n">
        <f aca="false">SUM(E7,E8)</f>
        <v>-23031.7</v>
      </c>
      <c r="F17" s="28" t="n">
        <f aca="false">SUM(F7,F8)</f>
        <v>-25842.8</v>
      </c>
      <c r="G17" s="33" t="n">
        <f aca="false">F17-E17</f>
        <v>-2811.1</v>
      </c>
      <c r="H17" s="100" t="n">
        <f aca="false">(F17/E17)*100</f>
        <v>112.205351754321</v>
      </c>
      <c r="I17" s="101"/>
    </row>
    <row r="18" customFormat="false" ht="20.1" hidden="false" customHeight="true" outlineLevel="0" collapsed="false">
      <c r="A18" s="29" t="s">
        <v>23</v>
      </c>
      <c r="B18" s="11" t="n">
        <v>1030</v>
      </c>
      <c r="C18" s="78" t="n">
        <f aca="false">SUM(C19:C38,C40)</f>
        <v>-25992.3</v>
      </c>
      <c r="D18" s="78" t="n">
        <f aca="false">SUM(D19:D38,D40)</f>
        <v>-35187.6</v>
      </c>
      <c r="E18" s="78" t="n">
        <f aca="false">SUM(E19:E38,E40)</f>
        <v>-11794.5</v>
      </c>
      <c r="F18" s="78" t="n">
        <f aca="false">SUM(F19:F38,F40)</f>
        <v>-11393.4</v>
      </c>
      <c r="G18" s="49" t="n">
        <f aca="false">F18-E18</f>
        <v>401.100000000002</v>
      </c>
      <c r="H18" s="102" t="n">
        <f aca="false">(F18/E18)*100</f>
        <v>96.5992623680529</v>
      </c>
      <c r="I18" s="103"/>
    </row>
    <row r="19" customFormat="false" ht="20.1" hidden="false" customHeight="true" outlineLevel="0" collapsed="false">
      <c r="A19" s="29" t="s">
        <v>24</v>
      </c>
      <c r="B19" s="11" t="n">
        <v>1031</v>
      </c>
      <c r="C19" s="49" t="n">
        <f aca="false">-690+-230</f>
        <v>-920</v>
      </c>
      <c r="D19" s="49" t="n">
        <f aca="false">-746+-260</f>
        <v>-1006</v>
      </c>
      <c r="E19" s="49" t="n">
        <f aca="false">-213+-66</f>
        <v>-279</v>
      </c>
      <c r="F19" s="49" t="n">
        <f aca="false">-307+-100</f>
        <v>-407</v>
      </c>
      <c r="G19" s="49" t="n">
        <f aca="false">F19-E19</f>
        <v>-128</v>
      </c>
      <c r="H19" s="102" t="n">
        <f aca="false">(F19/E19)*100</f>
        <v>145.878136200717</v>
      </c>
      <c r="I19" s="103"/>
    </row>
    <row r="20" customFormat="false" ht="20.1" hidden="false" customHeight="true" outlineLevel="0" collapsed="false">
      <c r="A20" s="29" t="s">
        <v>25</v>
      </c>
      <c r="B20" s="11" t="n">
        <v>1032</v>
      </c>
      <c r="C20" s="49" t="n">
        <f aca="false">-9</f>
        <v>-9</v>
      </c>
      <c r="D20" s="49" t="n">
        <f aca="false">-9</f>
        <v>-9</v>
      </c>
      <c r="E20" s="49" t="n">
        <f aca="false">-3</f>
        <v>-3</v>
      </c>
      <c r="F20" s="49" t="n">
        <f aca="false">-3</f>
        <v>-3</v>
      </c>
      <c r="G20" s="49" t="n">
        <f aca="false">F20-E20</f>
        <v>0</v>
      </c>
      <c r="H20" s="102" t="n">
        <f aca="false">(F20/E20)*100</f>
        <v>100</v>
      </c>
      <c r="I20" s="103"/>
    </row>
    <row r="21" customFormat="false" ht="20.1" hidden="false" customHeight="true" outlineLevel="0" collapsed="false">
      <c r="A21" s="29" t="s">
        <v>26</v>
      </c>
      <c r="B21" s="11" t="n">
        <v>1033</v>
      </c>
      <c r="C21" s="49" t="n">
        <f aca="false">-77</f>
        <v>-77</v>
      </c>
      <c r="D21" s="49" t="s">
        <v>192</v>
      </c>
      <c r="E21" s="49" t="s">
        <v>192</v>
      </c>
      <c r="F21" s="49" t="s">
        <v>192</v>
      </c>
      <c r="G21" s="49" t="e">
        <f aca="false">F21-E21</f>
        <v>#VALUE!</v>
      </c>
      <c r="H21" s="102" t="e">
        <f aca="false">(F21/E21)*100</f>
        <v>#VALUE!</v>
      </c>
      <c r="I21" s="103"/>
    </row>
    <row r="22" customFormat="false" ht="20.1" hidden="false" customHeight="true" outlineLevel="0" collapsed="false">
      <c r="A22" s="29" t="s">
        <v>27</v>
      </c>
      <c r="B22" s="11" t="n">
        <v>1034</v>
      </c>
      <c r="C22" s="49" t="n">
        <f aca="false">-2</f>
        <v>-2</v>
      </c>
      <c r="D22" s="49" t="n">
        <f aca="false">-3</f>
        <v>-3</v>
      </c>
      <c r="E22" s="49" t="n">
        <f aca="false">-1</f>
        <v>-1</v>
      </c>
      <c r="F22" s="49" t="n">
        <f aca="false">-1</f>
        <v>-1</v>
      </c>
      <c r="G22" s="49" t="n">
        <f aca="false">F22-E22</f>
        <v>0</v>
      </c>
      <c r="H22" s="102" t="n">
        <f aca="false">(F22/E22)*100</f>
        <v>100</v>
      </c>
      <c r="I22" s="103"/>
    </row>
    <row r="23" customFormat="false" ht="20.1" hidden="false" customHeight="true" outlineLevel="0" collapsed="false">
      <c r="A23" s="29" t="s">
        <v>28</v>
      </c>
      <c r="B23" s="11" t="n">
        <v>1035</v>
      </c>
      <c r="C23" s="49" t="n">
        <f aca="false">-40+-29</f>
        <v>-69</v>
      </c>
      <c r="D23" s="49" t="s">
        <v>192</v>
      </c>
      <c r="E23" s="49" t="n">
        <f aca="false">-2</f>
        <v>-2</v>
      </c>
      <c r="F23" s="49" t="s">
        <v>192</v>
      </c>
      <c r="G23" s="49" t="e">
        <f aca="false">F23-E23</f>
        <v>#VALUE!</v>
      </c>
      <c r="H23" s="102" t="e">
        <f aca="false">(F23/E23)*100</f>
        <v>#VALUE!</v>
      </c>
      <c r="I23" s="103"/>
    </row>
    <row r="24" s="97" customFormat="true" ht="20.1" hidden="false" customHeight="true" outlineLevel="0" collapsed="false">
      <c r="A24" s="29" t="s">
        <v>193</v>
      </c>
      <c r="B24" s="11" t="n">
        <v>1036</v>
      </c>
      <c r="C24" s="49" t="n">
        <f aca="false">-64+-36+-11-0.9</f>
        <v>-111.9</v>
      </c>
      <c r="D24" s="49" t="n">
        <f aca="false">-34+-15+-1-1.9</f>
        <v>-51.9</v>
      </c>
      <c r="E24" s="49" t="n">
        <f aca="false">-15+-5+-2-4</f>
        <v>-26</v>
      </c>
      <c r="F24" s="49" t="n">
        <f aca="false">-22+-4-1.9</f>
        <v>-27.9</v>
      </c>
      <c r="G24" s="49" t="n">
        <f aca="false">F24-E24</f>
        <v>-1.9</v>
      </c>
      <c r="H24" s="102" t="n">
        <f aca="false">(F24/E24)*100</f>
        <v>107.307692307692</v>
      </c>
      <c r="I24" s="103"/>
    </row>
    <row r="25" s="97" customFormat="true" ht="20.1" hidden="false" customHeight="true" outlineLevel="0" collapsed="false">
      <c r="A25" s="29" t="s">
        <v>194</v>
      </c>
      <c r="B25" s="11" t="n">
        <v>1037</v>
      </c>
      <c r="C25" s="49" t="n">
        <f aca="false">-98+-2+-3+-4-8.5</f>
        <v>-115.5</v>
      </c>
      <c r="D25" s="49" t="n">
        <f aca="false">-149+-2+-3+-3-7.2</f>
        <v>-164.2</v>
      </c>
      <c r="E25" s="49" t="n">
        <f aca="false">-36+-1+-1+-1-2.6</f>
        <v>-41.6</v>
      </c>
      <c r="F25" s="49" t="n">
        <f aca="false">-60+-1+-1+-1-2.4</f>
        <v>-65.4</v>
      </c>
      <c r="G25" s="49" t="n">
        <f aca="false">F25-E25</f>
        <v>-23.8</v>
      </c>
      <c r="H25" s="102" t="n">
        <f aca="false">(F25/E25)*100</f>
        <v>157.211538461538</v>
      </c>
      <c r="I25" s="103"/>
    </row>
    <row r="26" s="97" customFormat="true" ht="20.1" hidden="false" customHeight="true" outlineLevel="0" collapsed="false">
      <c r="A26" s="29" t="s">
        <v>195</v>
      </c>
      <c r="B26" s="11" t="n">
        <v>1038</v>
      </c>
      <c r="C26" s="49" t="n">
        <f aca="false">-12101+-130+-86+-549+-2190-1457.4</f>
        <v>-16513.4</v>
      </c>
      <c r="D26" s="49" t="n">
        <f aca="false">-18287+-121+-84+-530+-2781-1809.8</f>
        <v>-23612.8</v>
      </c>
      <c r="E26" s="49" t="n">
        <f aca="false">-5546+-48+-32+-185+-661-425.9</f>
        <v>-6897.9</v>
      </c>
      <c r="F26" s="49" t="n">
        <f aca="false">-5816+-41+-30+-209+-839-658.1</f>
        <v>-7593.1</v>
      </c>
      <c r="G26" s="49" t="n">
        <f aca="false">F26-E26</f>
        <v>-695.200000000001</v>
      </c>
      <c r="H26" s="102" t="n">
        <f aca="false">(F26/E26)*100</f>
        <v>110.078429667</v>
      </c>
      <c r="I26" s="103"/>
    </row>
    <row r="27" s="97" customFormat="true" ht="20.1" hidden="false" customHeight="true" outlineLevel="0" collapsed="false">
      <c r="A27" s="29" t="s">
        <v>196</v>
      </c>
      <c r="B27" s="11" t="n">
        <v>1039</v>
      </c>
      <c r="C27" s="49" t="n">
        <f aca="false">-2650+-28+-13+-91+-442-319.2</f>
        <v>-3543.2</v>
      </c>
      <c r="D27" s="49" t="n">
        <f aca="false">-3900+-27+-11+-94+-580-398.1</f>
        <v>-5010.1</v>
      </c>
      <c r="E27" s="49" t="n">
        <f aca="false">-1217+-11+-7+-41+-145-93.7</f>
        <v>-1514.7</v>
      </c>
      <c r="F27" s="49" t="n">
        <f aca="false">-1238+-9+-3+-37+-185-144.4</f>
        <v>-1616.4</v>
      </c>
      <c r="G27" s="49" t="n">
        <f aca="false">F27-E27</f>
        <v>-101.7</v>
      </c>
      <c r="H27" s="102" t="n">
        <f aca="false">(F27/E27)*100</f>
        <v>106.714200831848</v>
      </c>
      <c r="I27" s="103"/>
    </row>
    <row r="28" s="97" customFormat="true" ht="42.75" hidden="false" customHeight="true" outlineLevel="0" collapsed="false">
      <c r="A28" s="29" t="s">
        <v>197</v>
      </c>
      <c r="B28" s="11" t="n">
        <v>1040</v>
      </c>
      <c r="C28" s="49" t="n">
        <f aca="false">-384+-21+-123-21</f>
        <v>-549</v>
      </c>
      <c r="D28" s="49" t="n">
        <f aca="false">-508+-14+-55-21.1</f>
        <v>-598.1</v>
      </c>
      <c r="E28" s="49" t="n">
        <f aca="false">-37+-10+-47-6.7</f>
        <v>-100.7</v>
      </c>
      <c r="F28" s="49" t="n">
        <f aca="false">-152+-3+-21-8.5</f>
        <v>-184.5</v>
      </c>
      <c r="G28" s="49" t="n">
        <f aca="false">F28-E28</f>
        <v>-83.8</v>
      </c>
      <c r="H28" s="102" t="n">
        <f aca="false">(F28/E28)*100</f>
        <v>183.217477656405</v>
      </c>
      <c r="I28" s="103"/>
    </row>
    <row r="29" s="97" customFormat="true" ht="42.75" hidden="false" customHeight="true" outlineLevel="0" collapsed="false">
      <c r="A29" s="29" t="s">
        <v>198</v>
      </c>
      <c r="B29" s="11" t="n">
        <v>1041</v>
      </c>
      <c r="C29" s="49" t="n">
        <f aca="false">-1</f>
        <v>-1</v>
      </c>
      <c r="D29" s="49" t="s">
        <v>192</v>
      </c>
      <c r="E29" s="49" t="s">
        <v>192</v>
      </c>
      <c r="F29" s="49" t="s">
        <v>192</v>
      </c>
      <c r="G29" s="49" t="e">
        <f aca="false">F29-E29</f>
        <v>#VALUE!</v>
      </c>
      <c r="H29" s="102" t="e">
        <f aca="false">(F29/E29)*100</f>
        <v>#VALUE!</v>
      </c>
      <c r="I29" s="103"/>
    </row>
    <row r="30" s="97" customFormat="true" ht="20.1" hidden="false" customHeight="true" outlineLevel="0" collapsed="false">
      <c r="A30" s="29" t="s">
        <v>199</v>
      </c>
      <c r="B30" s="11" t="n">
        <v>1042</v>
      </c>
      <c r="C30" s="49" t="n">
        <f aca="false">-5+-3</f>
        <v>-8</v>
      </c>
      <c r="D30" s="49" t="n">
        <f aca="false">-23-0.9</f>
        <v>-23.9</v>
      </c>
      <c r="E30" s="49" t="n">
        <f aca="false">-4+-1</f>
        <v>-5</v>
      </c>
      <c r="F30" s="49" t="n">
        <f aca="false">-3-0.4</f>
        <v>-3.4</v>
      </c>
      <c r="G30" s="49" t="n">
        <f aca="false">F30-E30</f>
        <v>1.6</v>
      </c>
      <c r="H30" s="102" t="n">
        <f aca="false">(F30/E30)*100</f>
        <v>68</v>
      </c>
      <c r="I30" s="103"/>
    </row>
    <row r="31" s="97" customFormat="true" ht="20.1" hidden="false" customHeight="true" outlineLevel="0" collapsed="false">
      <c r="A31" s="29" t="s">
        <v>200</v>
      </c>
      <c r="B31" s="11" t="n">
        <v>1043</v>
      </c>
      <c r="C31" s="49" t="n">
        <f aca="false">-3</f>
        <v>-3</v>
      </c>
      <c r="D31" s="49" t="n">
        <f aca="false">-1</f>
        <v>-1</v>
      </c>
      <c r="E31" s="49" t="n">
        <f aca="false">-9</f>
        <v>-9</v>
      </c>
      <c r="F31" s="49" t="s">
        <v>192</v>
      </c>
      <c r="G31" s="49" t="e">
        <f aca="false">F31-E31</f>
        <v>#VALUE!</v>
      </c>
      <c r="H31" s="102" t="e">
        <f aca="false">(F31/E31)*100</f>
        <v>#VALUE!</v>
      </c>
      <c r="I31" s="103"/>
    </row>
    <row r="32" s="97" customFormat="true" ht="20.1" hidden="false" customHeight="true" outlineLevel="0" collapsed="false">
      <c r="A32" s="29" t="s">
        <v>201</v>
      </c>
      <c r="B32" s="11" t="n">
        <v>1044</v>
      </c>
      <c r="C32" s="49" t="n">
        <f aca="false">-66+-107-9.1</f>
        <v>-182.1</v>
      </c>
      <c r="D32" s="49" t="n">
        <f aca="false">-67+-80-20.2</f>
        <v>-167.2</v>
      </c>
      <c r="E32" s="49" t="n">
        <f aca="false">-19+-20-6.1</f>
        <v>-45.1</v>
      </c>
      <c r="F32" s="49" t="n">
        <f aca="false">-21+-26-1.9</f>
        <v>-48.9</v>
      </c>
      <c r="G32" s="49" t="n">
        <f aca="false">F32-E32</f>
        <v>-3.8</v>
      </c>
      <c r="H32" s="102" t="n">
        <f aca="false">(F32/E32)*100</f>
        <v>108.425720620843</v>
      </c>
      <c r="I32" s="103"/>
    </row>
    <row r="33" s="97" customFormat="true" ht="20.1" hidden="false" customHeight="true" outlineLevel="0" collapsed="false">
      <c r="A33" s="29" t="s">
        <v>202</v>
      </c>
      <c r="B33" s="11" t="n">
        <v>1045</v>
      </c>
      <c r="C33" s="49" t="n">
        <f aca="false">-315+-24-18.6</f>
        <v>-357.6</v>
      </c>
      <c r="D33" s="49" t="n">
        <f aca="false">-343+-6-12.1</f>
        <v>-361.1</v>
      </c>
      <c r="E33" s="49" t="n">
        <f aca="false">-62+-2-4.5</f>
        <v>-68.5</v>
      </c>
      <c r="F33" s="49" t="n">
        <f aca="false">-148+-5-5.6</f>
        <v>-158.6</v>
      </c>
      <c r="G33" s="49" t="n">
        <f aca="false">F33-E33</f>
        <v>-90.1</v>
      </c>
      <c r="H33" s="102" t="n">
        <f aca="false">(F33/E33)*100</f>
        <v>231.532846715328</v>
      </c>
      <c r="I33" s="103"/>
    </row>
    <row r="34" s="97" customFormat="true" ht="20.1" hidden="false" customHeight="true" outlineLevel="0" collapsed="false">
      <c r="A34" s="29" t="s">
        <v>203</v>
      </c>
      <c r="B34" s="11" t="n">
        <v>1046</v>
      </c>
      <c r="C34" s="49" t="n">
        <f aca="false">-75+-184</f>
        <v>-259</v>
      </c>
      <c r="D34" s="49" t="n">
        <f aca="false">-74+-208</f>
        <v>-282</v>
      </c>
      <c r="E34" s="49" t="n">
        <f aca="false">-1422+-38</f>
        <v>-1460</v>
      </c>
      <c r="F34" s="49" t="n">
        <f aca="false">-25+-69</f>
        <v>-94</v>
      </c>
      <c r="G34" s="49" t="n">
        <f aca="false">F34-E34</f>
        <v>1366</v>
      </c>
      <c r="H34" s="102" t="n">
        <f aca="false">(F34/E34)*100</f>
        <v>6.43835616438356</v>
      </c>
      <c r="I34" s="103"/>
    </row>
    <row r="35" s="97" customFormat="true" ht="20.1" hidden="false" customHeight="true" outlineLevel="0" collapsed="false">
      <c r="A35" s="29" t="s">
        <v>204</v>
      </c>
      <c r="B35" s="11" t="n">
        <v>1047</v>
      </c>
      <c r="C35" s="49" t="n">
        <f aca="false">-35</f>
        <v>-35</v>
      </c>
      <c r="D35" s="49" t="n">
        <f aca="false">-2</f>
        <v>-2</v>
      </c>
      <c r="E35" s="49" t="n">
        <f aca="false">-1</f>
        <v>-1</v>
      </c>
      <c r="F35" s="49" t="s">
        <v>192</v>
      </c>
      <c r="G35" s="49" t="e">
        <f aca="false">F35-E35</f>
        <v>#VALUE!</v>
      </c>
      <c r="H35" s="102" t="e">
        <f aca="false">(F35/E35)*100</f>
        <v>#VALUE!</v>
      </c>
      <c r="I35" s="103"/>
    </row>
    <row r="36" s="97" customFormat="true" ht="20.1" hidden="false" customHeight="true" outlineLevel="0" collapsed="false">
      <c r="A36" s="29" t="s">
        <v>205</v>
      </c>
      <c r="B36" s="11" t="n">
        <v>1048</v>
      </c>
      <c r="C36" s="49" t="n">
        <f aca="false">-34+-8-0.3</f>
        <v>-42.3</v>
      </c>
      <c r="D36" s="49" t="n">
        <f aca="false">-23+-7-0.4</f>
        <v>-30.4</v>
      </c>
      <c r="E36" s="49" t="n">
        <f aca="false">-22+-1</f>
        <v>-23</v>
      </c>
      <c r="F36" s="49" t="n">
        <f aca="false">-1+-3</f>
        <v>-4</v>
      </c>
      <c r="G36" s="49" t="n">
        <f aca="false">F36-E36</f>
        <v>19</v>
      </c>
      <c r="H36" s="102" t="n">
        <f aca="false">(F36/E36)*100</f>
        <v>17.3913043478261</v>
      </c>
      <c r="I36" s="103"/>
    </row>
    <row r="37" s="97" customFormat="true" ht="20.1" hidden="false" customHeight="true" outlineLevel="0" collapsed="false">
      <c r="A37" s="29" t="s">
        <v>206</v>
      </c>
      <c r="B37" s="11" t="n">
        <v>1049</v>
      </c>
      <c r="C37" s="49" t="n">
        <f aca="false">-12+-14+-2-4</f>
        <v>-32</v>
      </c>
      <c r="D37" s="49" t="n">
        <f aca="false">-15+-1-2.5</f>
        <v>-18.5</v>
      </c>
      <c r="E37" s="49" t="n">
        <f aca="false">-5</f>
        <v>-5</v>
      </c>
      <c r="F37" s="49" t="n">
        <f aca="false">-2-0.9</f>
        <v>-2.9</v>
      </c>
      <c r="G37" s="49" t="n">
        <f aca="false">F37-E37</f>
        <v>2.1</v>
      </c>
      <c r="H37" s="102" t="n">
        <f aca="false">(F37/E37)*100</f>
        <v>58</v>
      </c>
      <c r="I37" s="103"/>
    </row>
    <row r="38" s="97" customFormat="true" ht="42.75" hidden="false" customHeight="true" outlineLevel="0" collapsed="false">
      <c r="A38" s="29" t="s">
        <v>207</v>
      </c>
      <c r="B38" s="11" t="n">
        <v>1050</v>
      </c>
      <c r="C38" s="49" t="n">
        <f aca="false">-574+-365-15</f>
        <v>-954</v>
      </c>
      <c r="D38" s="49" t="n">
        <f aca="false">-372+-3</f>
        <v>-375</v>
      </c>
      <c r="E38" s="49" t="n">
        <f aca="false">-94+-146</f>
        <v>-240</v>
      </c>
      <c r="F38" s="49" t="n">
        <f aca="false">-63</f>
        <v>-63</v>
      </c>
      <c r="G38" s="49" t="n">
        <f aca="false">F38-E38</f>
        <v>177</v>
      </c>
      <c r="H38" s="102" t="n">
        <f aca="false">(F38/E38)*100</f>
        <v>26.25</v>
      </c>
      <c r="I38" s="103"/>
    </row>
    <row r="39" s="97" customFormat="true" ht="20.1" hidden="false" customHeight="true" outlineLevel="0" collapsed="false">
      <c r="A39" s="29" t="s">
        <v>208</v>
      </c>
      <c r="B39" s="11" t="s">
        <v>209</v>
      </c>
      <c r="C39" s="49" t="n">
        <f aca="false">-15</f>
        <v>-15</v>
      </c>
      <c r="D39" s="49" t="s">
        <v>192</v>
      </c>
      <c r="E39" s="49" t="s">
        <v>192</v>
      </c>
      <c r="F39" s="49" t="s">
        <v>192</v>
      </c>
      <c r="G39" s="49" t="e">
        <f aca="false">F39-E39</f>
        <v>#VALUE!</v>
      </c>
      <c r="H39" s="102" t="e">
        <f aca="false">(F39/E39)*100</f>
        <v>#VALUE!</v>
      </c>
      <c r="I39" s="103"/>
    </row>
    <row r="40" s="97" customFormat="true" ht="20.1" hidden="false" customHeight="true" outlineLevel="0" collapsed="false">
      <c r="A40" s="29" t="s">
        <v>210</v>
      </c>
      <c r="B40" s="11" t="n">
        <v>1051</v>
      </c>
      <c r="C40" s="49" t="n">
        <f aca="false">-1892+-4+-111+-80-121.3</f>
        <v>-2208.3</v>
      </c>
      <c r="D40" s="49" t="n">
        <f aca="false">-3023+-4+-164+-224-56.4</f>
        <v>-3471.4</v>
      </c>
      <c r="E40" s="49" t="n">
        <f aca="false">-527+-3+-22+-508-12</f>
        <v>-1072</v>
      </c>
      <c r="F40" s="49" t="n">
        <f aca="false">-1010+-3+-68+-26-13.3</f>
        <v>-1120.3</v>
      </c>
      <c r="G40" s="49" t="n">
        <f aca="false">F40-E40</f>
        <v>-48.3</v>
      </c>
      <c r="H40" s="102" t="n">
        <f aca="false">(F40/E40)*100</f>
        <v>104.505597014925</v>
      </c>
      <c r="I40" s="103"/>
    </row>
    <row r="41" customFormat="false" ht="20.1" hidden="false" customHeight="true" outlineLevel="0" collapsed="false">
      <c r="A41" s="29" t="s">
        <v>211</v>
      </c>
      <c r="B41" s="11" t="n">
        <v>1060</v>
      </c>
      <c r="C41" s="78" t="n">
        <f aca="false">SUM(C42:C48)</f>
        <v>-242.9</v>
      </c>
      <c r="D41" s="78" t="n">
        <f aca="false">SUM(D42:D48)</f>
        <v>-432.8</v>
      </c>
      <c r="E41" s="78" t="n">
        <f aca="false">SUM(E42:E48)</f>
        <v>-87</v>
      </c>
      <c r="F41" s="78" t="n">
        <f aca="false">SUM(F42:F48)</f>
        <v>-94.7</v>
      </c>
      <c r="G41" s="49" t="n">
        <f aca="false">F41-E41</f>
        <v>-7.7</v>
      </c>
      <c r="H41" s="102" t="n">
        <f aca="false">(F41/E41)*100</f>
        <v>108.850574712644</v>
      </c>
      <c r="I41" s="103"/>
    </row>
    <row r="42" s="97" customFormat="true" ht="20.1" hidden="false" customHeight="true" outlineLevel="0" collapsed="false">
      <c r="A42" s="29" t="s">
        <v>212</v>
      </c>
      <c r="B42" s="11" t="n">
        <v>1061</v>
      </c>
      <c r="C42" s="49" t="s">
        <v>192</v>
      </c>
      <c r="D42" s="49" t="s">
        <v>192</v>
      </c>
      <c r="E42" s="49" t="s">
        <v>192</v>
      </c>
      <c r="F42" s="49" t="s">
        <v>192</v>
      </c>
      <c r="G42" s="49" t="e">
        <f aca="false">F42-E42</f>
        <v>#VALUE!</v>
      </c>
      <c r="H42" s="102" t="e">
        <f aca="false">(F42/E42)*100</f>
        <v>#VALUE!</v>
      </c>
      <c r="I42" s="103"/>
    </row>
    <row r="43" s="97" customFormat="true" ht="20.1" hidden="false" customHeight="true" outlineLevel="0" collapsed="false">
      <c r="A43" s="29" t="s">
        <v>213</v>
      </c>
      <c r="B43" s="11" t="n">
        <v>1062</v>
      </c>
      <c r="C43" s="49" t="s">
        <v>192</v>
      </c>
      <c r="D43" s="49" t="s">
        <v>192</v>
      </c>
      <c r="E43" s="49" t="s">
        <v>192</v>
      </c>
      <c r="F43" s="49" t="s">
        <v>192</v>
      </c>
      <c r="G43" s="49" t="e">
        <f aca="false">F43-E43</f>
        <v>#VALUE!</v>
      </c>
      <c r="H43" s="102" t="e">
        <f aca="false">(F43/E43)*100</f>
        <v>#VALUE!</v>
      </c>
      <c r="I43" s="103"/>
    </row>
    <row r="44" s="97" customFormat="true" ht="20.1" hidden="false" customHeight="true" outlineLevel="0" collapsed="false">
      <c r="A44" s="29" t="s">
        <v>195</v>
      </c>
      <c r="B44" s="11" t="n">
        <v>1063</v>
      </c>
      <c r="C44" s="49" t="n">
        <f aca="false">-167</f>
        <v>-167</v>
      </c>
      <c r="D44" s="49" t="n">
        <f aca="false">-287</f>
        <v>-287</v>
      </c>
      <c r="E44" s="49" t="n">
        <f aca="false">-57</f>
        <v>-57</v>
      </c>
      <c r="F44" s="49" t="n">
        <f aca="false">-62</f>
        <v>-62</v>
      </c>
      <c r="G44" s="49" t="n">
        <f aca="false">F44-E44</f>
        <v>-5</v>
      </c>
      <c r="H44" s="102" t="n">
        <f aca="false">(F44/E44)*100</f>
        <v>108.771929824561</v>
      </c>
      <c r="I44" s="103"/>
    </row>
    <row r="45" s="97" customFormat="true" ht="20.1" hidden="false" customHeight="true" outlineLevel="0" collapsed="false">
      <c r="A45" s="29" t="s">
        <v>196</v>
      </c>
      <c r="B45" s="11" t="n">
        <v>1064</v>
      </c>
      <c r="C45" s="49" t="n">
        <f aca="false">-37</f>
        <v>-37</v>
      </c>
      <c r="D45" s="49" t="n">
        <f aca="false">-67</f>
        <v>-67</v>
      </c>
      <c r="E45" s="49" t="n">
        <f aca="false">-13</f>
        <v>-13</v>
      </c>
      <c r="F45" s="49" t="n">
        <f aca="false">-14</f>
        <v>-14</v>
      </c>
      <c r="G45" s="49" t="n">
        <f aca="false">F45-E45</f>
        <v>-1</v>
      </c>
      <c r="H45" s="102" t="n">
        <f aca="false">(F45/E45)*100</f>
        <v>107.692307692308</v>
      </c>
      <c r="I45" s="103"/>
    </row>
    <row r="46" s="97" customFormat="true" ht="20.1" hidden="false" customHeight="true" outlineLevel="0" collapsed="false">
      <c r="A46" s="29" t="s">
        <v>214</v>
      </c>
      <c r="B46" s="11" t="n">
        <v>1065</v>
      </c>
      <c r="C46" s="49" t="n">
        <f aca="false">-4</f>
        <v>-4</v>
      </c>
      <c r="D46" s="49" t="n">
        <f aca="false">-4</f>
        <v>-4</v>
      </c>
      <c r="E46" s="49" t="s">
        <v>192</v>
      </c>
      <c r="F46" s="49" t="n">
        <f aca="false">-1</f>
        <v>-1</v>
      </c>
      <c r="G46" s="49" t="e">
        <f aca="false">F46-E46</f>
        <v>#VALUE!</v>
      </c>
      <c r="H46" s="102" t="e">
        <f aca="false">(F46/E46)*100</f>
        <v>#VALUE!</v>
      </c>
      <c r="I46" s="103"/>
    </row>
    <row r="47" s="97" customFormat="true" ht="20.1" hidden="false" customHeight="true" outlineLevel="0" collapsed="false">
      <c r="A47" s="29" t="s">
        <v>215</v>
      </c>
      <c r="B47" s="11" t="n">
        <v>1066</v>
      </c>
      <c r="C47" s="49" t="n">
        <f aca="false">-4.9</f>
        <v>-4.9</v>
      </c>
      <c r="D47" s="49" t="n">
        <f aca="false">-4.6</f>
        <v>-4.6</v>
      </c>
      <c r="E47" s="49" t="n">
        <f aca="false">-2</f>
        <v>-2</v>
      </c>
      <c r="F47" s="49" t="n">
        <f aca="false">-2.3</f>
        <v>-2.3</v>
      </c>
      <c r="G47" s="49" t="n">
        <f aca="false">F47-E47</f>
        <v>-0.3</v>
      </c>
      <c r="H47" s="102" t="n">
        <f aca="false">(F47/E47)*100</f>
        <v>115</v>
      </c>
      <c r="I47" s="103"/>
    </row>
    <row r="48" s="97" customFormat="true" ht="20.1" hidden="false" customHeight="true" outlineLevel="0" collapsed="false">
      <c r="A48" s="29" t="s">
        <v>216</v>
      </c>
      <c r="B48" s="11" t="n">
        <v>1067</v>
      </c>
      <c r="C48" s="49" t="n">
        <f aca="false">-30</f>
        <v>-30</v>
      </c>
      <c r="D48" s="49" t="n">
        <f aca="false">-57-13.2</f>
        <v>-70.2</v>
      </c>
      <c r="E48" s="49" t="n">
        <f aca="false">-15</f>
        <v>-15</v>
      </c>
      <c r="F48" s="49" t="n">
        <f aca="false">-9-6.4</f>
        <v>-15.4</v>
      </c>
      <c r="G48" s="49" t="n">
        <f aca="false">F48-E48</f>
        <v>-0.4</v>
      </c>
      <c r="H48" s="102" t="n">
        <f aca="false">(F48/E48)*100</f>
        <v>102.666666666667</v>
      </c>
      <c r="I48" s="103"/>
    </row>
    <row r="49" s="97" customFormat="true" ht="20.1" hidden="false" customHeight="true" outlineLevel="0" collapsed="false">
      <c r="A49" s="29" t="s">
        <v>217</v>
      </c>
      <c r="B49" s="11" t="n">
        <v>1070</v>
      </c>
      <c r="C49" s="78" t="n">
        <f aca="false">SUM(C50:C52)</f>
        <v>98284.7</v>
      </c>
      <c r="D49" s="78" t="n">
        <f aca="false">SUM(D50:D52)</f>
        <v>113321.6</v>
      </c>
      <c r="E49" s="78" t="n">
        <f aca="false">SUM(E50:E52)</f>
        <v>31858.3</v>
      </c>
      <c r="F49" s="78" t="n">
        <f aca="false">SUM(F50:F52)</f>
        <v>43760.9</v>
      </c>
      <c r="G49" s="49" t="n">
        <f aca="false">F49-E49</f>
        <v>11902.6</v>
      </c>
      <c r="H49" s="102" t="n">
        <f aca="false">(F49/E49)*100</f>
        <v>137.361064463578</v>
      </c>
      <c r="I49" s="103"/>
    </row>
    <row r="50" s="97" customFormat="true" ht="20.1" hidden="false" customHeight="true" outlineLevel="0" collapsed="false">
      <c r="A50" s="29" t="s">
        <v>31</v>
      </c>
      <c r="B50" s="11" t="n">
        <v>1071</v>
      </c>
      <c r="C50" s="49"/>
      <c r="D50" s="49" t="n">
        <f aca="false">8</f>
        <v>8</v>
      </c>
      <c r="E50" s="49"/>
      <c r="F50" s="49" t="n">
        <f aca="false">8</f>
        <v>8</v>
      </c>
      <c r="G50" s="49" t="n">
        <f aca="false">F50-E50</f>
        <v>8</v>
      </c>
      <c r="H50" s="102" t="e">
        <f aca="false">(F50/E50)*100</f>
        <v>#DIV/0!</v>
      </c>
      <c r="I50" s="103"/>
    </row>
    <row r="51" s="97" customFormat="true" ht="20.1" hidden="false" customHeight="true" outlineLevel="0" collapsed="false">
      <c r="A51" s="29" t="s">
        <v>218</v>
      </c>
      <c r="B51" s="11" t="n">
        <v>1072</v>
      </c>
      <c r="C51" s="49" t="n">
        <f aca="false">7</f>
        <v>7</v>
      </c>
      <c r="D51" s="49"/>
      <c r="E51" s="49"/>
      <c r="F51" s="49"/>
      <c r="G51" s="49" t="n">
        <f aca="false">F51-E51</f>
        <v>0</v>
      </c>
      <c r="H51" s="102" t="e">
        <f aca="false">(F51/E51)*100</f>
        <v>#DIV/0!</v>
      </c>
      <c r="I51" s="103"/>
    </row>
    <row r="52" s="97" customFormat="true" ht="20.1" hidden="false" customHeight="true" outlineLevel="0" collapsed="false">
      <c r="A52" s="29" t="s">
        <v>219</v>
      </c>
      <c r="B52" s="11" t="n">
        <v>1073</v>
      </c>
      <c r="C52" s="49" t="n">
        <f aca="false">92201+28+28+6020.7</f>
        <v>98277.7</v>
      </c>
      <c r="D52" s="49" t="n">
        <f aca="false">104878+34+54+8347.6</f>
        <v>113313.6</v>
      </c>
      <c r="E52" s="49" t="n">
        <f aca="false">29840+10+2008.3</f>
        <v>31858.3</v>
      </c>
      <c r="F52" s="49" t="n">
        <f aca="false">40883+19+5+2845.9</f>
        <v>43752.9</v>
      </c>
      <c r="G52" s="49" t="n">
        <f aca="false">F52-E52</f>
        <v>11894.6</v>
      </c>
      <c r="H52" s="102" t="n">
        <f aca="false">(F52/E52)*100</f>
        <v>137.335953268065</v>
      </c>
      <c r="I52" s="103"/>
      <c r="O52" s="91"/>
    </row>
    <row r="53" s="97" customFormat="true" ht="20.1" hidden="false" customHeight="true" outlineLevel="0" collapsed="false">
      <c r="A53" s="30" t="s">
        <v>220</v>
      </c>
      <c r="B53" s="11" t="n">
        <v>1080</v>
      </c>
      <c r="C53" s="78" t="n">
        <f aca="false">SUM(C54:C59)</f>
        <v>-4114.3</v>
      </c>
      <c r="D53" s="78" t="n">
        <f aca="false">SUM(D54:D59)</f>
        <v>-6052.1</v>
      </c>
      <c r="E53" s="78" t="n">
        <f aca="false">SUM(E54:E59)</f>
        <v>-1376.5</v>
      </c>
      <c r="F53" s="78" t="n">
        <f aca="false">SUM(F54:F59)</f>
        <v>-1889.9</v>
      </c>
      <c r="G53" s="49" t="n">
        <f aca="false">F53-E53</f>
        <v>-513.4</v>
      </c>
      <c r="H53" s="102" t="n">
        <f aca="false">(F53/E53)*100</f>
        <v>137.297493643298</v>
      </c>
      <c r="I53" s="103"/>
      <c r="O53" s="104"/>
    </row>
    <row r="54" s="97" customFormat="true" ht="20.1" hidden="false" customHeight="true" outlineLevel="0" collapsed="false">
      <c r="A54" s="29" t="s">
        <v>31</v>
      </c>
      <c r="B54" s="11" t="n">
        <v>1081</v>
      </c>
      <c r="C54" s="49" t="s">
        <v>192</v>
      </c>
      <c r="D54" s="49" t="s">
        <v>192</v>
      </c>
      <c r="E54" s="49" t="s">
        <v>192</v>
      </c>
      <c r="F54" s="49" t="s">
        <v>192</v>
      </c>
      <c r="G54" s="49" t="e">
        <f aca="false">F54-E54</f>
        <v>#VALUE!</v>
      </c>
      <c r="H54" s="102" t="e">
        <f aca="false">(F54/E54)*100</f>
        <v>#VALUE!</v>
      </c>
      <c r="I54" s="103"/>
      <c r="O54" s="91"/>
    </row>
    <row r="55" s="97" customFormat="true" ht="20.1" hidden="false" customHeight="true" outlineLevel="0" collapsed="false">
      <c r="A55" s="29" t="s">
        <v>221</v>
      </c>
      <c r="B55" s="11" t="n">
        <v>1082</v>
      </c>
      <c r="C55" s="49" t="s">
        <v>192</v>
      </c>
      <c r="D55" s="49" t="s">
        <v>192</v>
      </c>
      <c r="E55" s="49" t="s">
        <v>192</v>
      </c>
      <c r="F55" s="49" t="s">
        <v>192</v>
      </c>
      <c r="G55" s="49" t="e">
        <f aca="false">F55-E55</f>
        <v>#VALUE!</v>
      </c>
      <c r="H55" s="102" t="e">
        <f aca="false">(F55/E55)*100</f>
        <v>#VALUE!</v>
      </c>
      <c r="I55" s="103"/>
      <c r="O55" s="91"/>
    </row>
    <row r="56" s="97" customFormat="true" ht="20.1" hidden="false" customHeight="true" outlineLevel="0" collapsed="false">
      <c r="A56" s="29" t="s">
        <v>222</v>
      </c>
      <c r="B56" s="11" t="n">
        <v>1083</v>
      </c>
      <c r="C56" s="49" t="s">
        <v>192</v>
      </c>
      <c r="D56" s="49" t="n">
        <f aca="false">-6</f>
        <v>-6</v>
      </c>
      <c r="E56" s="49" t="n">
        <f aca="false">-4+-5</f>
        <v>-9</v>
      </c>
      <c r="F56" s="49" t="s">
        <v>192</v>
      </c>
      <c r="G56" s="49" t="e">
        <f aca="false">F56-E56</f>
        <v>#VALUE!</v>
      </c>
      <c r="H56" s="102" t="e">
        <f aca="false">(F56/E56)*100</f>
        <v>#VALUE!</v>
      </c>
      <c r="I56" s="103"/>
    </row>
    <row r="57" s="97" customFormat="true" ht="20.1" hidden="false" customHeight="true" outlineLevel="0" collapsed="false">
      <c r="A57" s="29" t="s">
        <v>223</v>
      </c>
      <c r="B57" s="11" t="n">
        <v>1084</v>
      </c>
      <c r="C57" s="49" t="s">
        <v>192</v>
      </c>
      <c r="D57" s="49" t="n">
        <f aca="false">-216</f>
        <v>-216</v>
      </c>
      <c r="E57" s="49" t="s">
        <v>192</v>
      </c>
      <c r="F57" s="49" t="s">
        <v>192</v>
      </c>
      <c r="G57" s="49" t="e">
        <f aca="false">F57-E57</f>
        <v>#VALUE!</v>
      </c>
      <c r="H57" s="102" t="e">
        <f aca="false">(F57/E57)*100</f>
        <v>#VALUE!</v>
      </c>
      <c r="I57" s="103"/>
    </row>
    <row r="58" s="97" customFormat="true" ht="20.1" hidden="false" customHeight="true" outlineLevel="0" collapsed="false">
      <c r="A58" s="29" t="s">
        <v>224</v>
      </c>
      <c r="B58" s="11" t="n">
        <v>1085</v>
      </c>
      <c r="C58" s="49" t="s">
        <v>192</v>
      </c>
      <c r="D58" s="49" t="s">
        <v>192</v>
      </c>
      <c r="E58" s="49" t="s">
        <v>192</v>
      </c>
      <c r="F58" s="49" t="s">
        <v>192</v>
      </c>
      <c r="G58" s="49" t="e">
        <f aca="false">F58-E58</f>
        <v>#VALUE!</v>
      </c>
      <c r="H58" s="102" t="e">
        <f aca="false">(F58/E58)*100</f>
        <v>#VALUE!</v>
      </c>
      <c r="I58" s="103"/>
    </row>
    <row r="59" s="97" customFormat="true" ht="20.1" hidden="false" customHeight="true" outlineLevel="0" collapsed="false">
      <c r="A59" s="29" t="s">
        <v>225</v>
      </c>
      <c r="B59" s="11" t="n">
        <v>1086</v>
      </c>
      <c r="C59" s="49" t="n">
        <f aca="false">-3167+-55+-206-686.3</f>
        <v>-4114.3</v>
      </c>
      <c r="D59" s="49" t="n">
        <f aca="false">-4990+-30+-142-668.1</f>
        <v>-5830.1</v>
      </c>
      <c r="E59" s="49" t="n">
        <f aca="false">-931+-50-386.5</f>
        <v>-1367.5</v>
      </c>
      <c r="F59" s="49" t="n">
        <f aca="false">-1596+-9+-66-218.9</f>
        <v>-1889.9</v>
      </c>
      <c r="G59" s="49" t="n">
        <f aca="false">F59-E59</f>
        <v>-522.4</v>
      </c>
      <c r="H59" s="102" t="n">
        <f aca="false">(F59/E59)*100</f>
        <v>138.201096892139</v>
      </c>
      <c r="I59" s="103"/>
    </row>
    <row r="60" s="18" customFormat="true" ht="20.1" hidden="false" customHeight="true" outlineLevel="0" collapsed="false">
      <c r="A60" s="31" t="s">
        <v>35</v>
      </c>
      <c r="B60" s="36" t="n">
        <v>1100</v>
      </c>
      <c r="C60" s="28" t="n">
        <f aca="false">SUM(C17,C18,C41,C49,C53)</f>
        <v>19169.8</v>
      </c>
      <c r="D60" s="28" t="n">
        <f aca="false">SUM(D17,D18,D41,D49,D53)</f>
        <v>-4286.29999999998</v>
      </c>
      <c r="E60" s="28" t="n">
        <f aca="false">SUM(E17,E18,E41,E49,E53)</f>
        <v>-4431.39999999999</v>
      </c>
      <c r="F60" s="28" t="n">
        <f aca="false">SUM(F17,F18,F41,F49,F53)</f>
        <v>4540.10000000002</v>
      </c>
      <c r="G60" s="33" t="n">
        <f aca="false">F60-E60</f>
        <v>8971.50000000001</v>
      </c>
      <c r="H60" s="100" t="n">
        <f aca="false">(F60/E60)*100</f>
        <v>-102.452949406509</v>
      </c>
      <c r="I60" s="101"/>
    </row>
    <row r="61" customFormat="false" ht="20.1" hidden="false" customHeight="true" outlineLevel="0" collapsed="false">
      <c r="A61" s="29" t="s">
        <v>226</v>
      </c>
      <c r="B61" s="11" t="n">
        <v>1110</v>
      </c>
      <c r="C61" s="49"/>
      <c r="D61" s="49"/>
      <c r="E61" s="49"/>
      <c r="F61" s="49"/>
      <c r="G61" s="49" t="n">
        <f aca="false">F61-E61</f>
        <v>0</v>
      </c>
      <c r="H61" s="102" t="e">
        <f aca="false">(F61/E61)*100</f>
        <v>#DIV/0!</v>
      </c>
      <c r="I61" s="103"/>
    </row>
    <row r="62" customFormat="false" ht="20.1" hidden="false" customHeight="true" outlineLevel="0" collapsed="false">
      <c r="A62" s="29" t="s">
        <v>227</v>
      </c>
      <c r="B62" s="11" t="n">
        <v>1120</v>
      </c>
      <c r="C62" s="49" t="s">
        <v>192</v>
      </c>
      <c r="D62" s="49" t="s">
        <v>192</v>
      </c>
      <c r="E62" s="49" t="s">
        <v>192</v>
      </c>
      <c r="F62" s="49" t="s">
        <v>192</v>
      </c>
      <c r="G62" s="49" t="e">
        <f aca="false">F62-E62</f>
        <v>#VALUE!</v>
      </c>
      <c r="H62" s="102" t="e">
        <f aca="false">(F62/E62)*100</f>
        <v>#VALUE!</v>
      </c>
      <c r="I62" s="103"/>
    </row>
    <row r="63" customFormat="false" ht="20.1" hidden="false" customHeight="true" outlineLevel="0" collapsed="false">
      <c r="A63" s="29" t="s">
        <v>228</v>
      </c>
      <c r="B63" s="11" t="n">
        <v>1130</v>
      </c>
      <c r="C63" s="49" t="n">
        <f aca="false">12+19</f>
        <v>31</v>
      </c>
      <c r="D63" s="49" t="n">
        <f aca="false">191+139.6</f>
        <v>330.6</v>
      </c>
      <c r="E63" s="49" t="n">
        <f aca="false">5+19+3</f>
        <v>27</v>
      </c>
      <c r="F63" s="49" t="n">
        <v>86</v>
      </c>
      <c r="G63" s="49" t="n">
        <f aca="false">F63-E63</f>
        <v>59</v>
      </c>
      <c r="H63" s="102" t="n">
        <f aca="false">(F63/E63)*100</f>
        <v>318.518518518519</v>
      </c>
      <c r="I63" s="103"/>
    </row>
    <row r="64" customFormat="false" ht="20.1" hidden="false" customHeight="true" outlineLevel="0" collapsed="false">
      <c r="A64" s="29" t="s">
        <v>229</v>
      </c>
      <c r="B64" s="11" t="n">
        <v>1140</v>
      </c>
      <c r="C64" s="49" t="n">
        <f aca="false">-269</f>
        <v>-269</v>
      </c>
      <c r="D64" s="49" t="n">
        <f aca="false">-1714-139.6</f>
        <v>-1853.6</v>
      </c>
      <c r="E64" s="49" t="n">
        <f aca="false">-56</f>
        <v>-56</v>
      </c>
      <c r="F64" s="49" t="n">
        <f aca="false">-1549</f>
        <v>-1549</v>
      </c>
      <c r="G64" s="49" t="n">
        <f aca="false">F64-E64</f>
        <v>-1493</v>
      </c>
      <c r="H64" s="102" t="n">
        <f aca="false">(F64/E64)*100</f>
        <v>2766.07142857143</v>
      </c>
      <c r="I64" s="103"/>
    </row>
    <row r="65" customFormat="false" ht="20.1" hidden="false" customHeight="true" outlineLevel="0" collapsed="false">
      <c r="A65" s="29" t="s">
        <v>42</v>
      </c>
      <c r="B65" s="11" t="n">
        <v>1150</v>
      </c>
      <c r="C65" s="78" t="n">
        <f aca="false">SUM(C66:C67)</f>
        <v>4946</v>
      </c>
      <c r="D65" s="78" t="n">
        <f aca="false">SUM(D66:D67)</f>
        <v>7123</v>
      </c>
      <c r="E65" s="78" t="n">
        <f aca="false">SUM(E66:E67)</f>
        <v>1592</v>
      </c>
      <c r="F65" s="78" t="n">
        <f aca="false">SUM(F66:F67)</f>
        <v>2307</v>
      </c>
      <c r="G65" s="49" t="n">
        <f aca="false">F65-E65</f>
        <v>715</v>
      </c>
      <c r="H65" s="102" t="n">
        <f aca="false">(F65/E65)*100</f>
        <v>144.912060301508</v>
      </c>
      <c r="I65" s="103"/>
    </row>
    <row r="66" customFormat="false" ht="20.1" hidden="false" customHeight="true" outlineLevel="0" collapsed="false">
      <c r="A66" s="29" t="s">
        <v>31</v>
      </c>
      <c r="B66" s="11" t="n">
        <v>1151</v>
      </c>
      <c r="C66" s="49"/>
      <c r="D66" s="49"/>
      <c r="E66" s="49"/>
      <c r="F66" s="49"/>
      <c r="G66" s="49" t="n">
        <f aca="false">F66-E66</f>
        <v>0</v>
      </c>
      <c r="H66" s="102" t="e">
        <f aca="false">(F66/E66)*100</f>
        <v>#DIV/0!</v>
      </c>
      <c r="I66" s="103"/>
    </row>
    <row r="67" customFormat="false" ht="20.1" hidden="false" customHeight="true" outlineLevel="0" collapsed="false">
      <c r="A67" s="29" t="s">
        <v>230</v>
      </c>
      <c r="B67" s="11" t="n">
        <v>1152</v>
      </c>
      <c r="C67" s="49" t="n">
        <f aca="false">4893+53</f>
        <v>4946</v>
      </c>
      <c r="D67" s="49" t="n">
        <f aca="false">7036+87</f>
        <v>7123</v>
      </c>
      <c r="E67" s="49" t="n">
        <f aca="false">1552+40</f>
        <v>1592</v>
      </c>
      <c r="F67" s="49" t="n">
        <f aca="false">2279+28</f>
        <v>2307</v>
      </c>
      <c r="G67" s="49" t="n">
        <f aca="false">F67-E67</f>
        <v>715</v>
      </c>
      <c r="H67" s="102" t="n">
        <f aca="false">(F67/E67)*100</f>
        <v>144.912060301508</v>
      </c>
      <c r="I67" s="103"/>
    </row>
    <row r="68" customFormat="false" ht="20.1" hidden="false" customHeight="true" outlineLevel="0" collapsed="false">
      <c r="A68" s="29" t="s">
        <v>43</v>
      </c>
      <c r="B68" s="11" t="n">
        <v>1160</v>
      </c>
      <c r="C68" s="78" t="n">
        <f aca="false">SUM(C69:C70)</f>
        <v>-421.2</v>
      </c>
      <c r="D68" s="78" t="n">
        <f aca="false">SUM(D69:D70)</f>
        <v>-1135.3</v>
      </c>
      <c r="E68" s="78" t="n">
        <f aca="false">SUM(E69:E70)</f>
        <v>-356</v>
      </c>
      <c r="F68" s="78" t="n">
        <f aca="false">SUM(F69:F70)</f>
        <v>-354</v>
      </c>
      <c r="G68" s="49" t="n">
        <f aca="false">F68-E68</f>
        <v>2</v>
      </c>
      <c r="H68" s="102" t="n">
        <f aca="false">(F68/E68)*100</f>
        <v>99.438202247191</v>
      </c>
      <c r="I68" s="103"/>
    </row>
    <row r="69" customFormat="false" ht="20.1" hidden="false" customHeight="true" outlineLevel="0" collapsed="false">
      <c r="A69" s="29" t="s">
        <v>31</v>
      </c>
      <c r="B69" s="11" t="n">
        <v>1161</v>
      </c>
      <c r="C69" s="49" t="s">
        <v>192</v>
      </c>
      <c r="D69" s="49" t="s">
        <v>192</v>
      </c>
      <c r="E69" s="49" t="s">
        <v>192</v>
      </c>
      <c r="F69" s="49" t="s">
        <v>192</v>
      </c>
      <c r="G69" s="49" t="e">
        <f aca="false">F69-E69</f>
        <v>#VALUE!</v>
      </c>
      <c r="H69" s="102" t="e">
        <f aca="false">(F69/E69)*100</f>
        <v>#VALUE!</v>
      </c>
      <c r="I69" s="103"/>
    </row>
    <row r="70" customFormat="false" ht="20.1" hidden="false" customHeight="true" outlineLevel="0" collapsed="false">
      <c r="A70" s="29" t="s">
        <v>231</v>
      </c>
      <c r="B70" s="11" t="n">
        <v>1162</v>
      </c>
      <c r="C70" s="49" t="n">
        <f aca="false">-39+-367-15.2</f>
        <v>-421.2</v>
      </c>
      <c r="D70" s="49" t="n">
        <f aca="false">-730+-393+-12-0.3</f>
        <v>-1135.3</v>
      </c>
      <c r="E70" s="49" t="n">
        <f aca="false">-188+-154+-13+-1</f>
        <v>-356</v>
      </c>
      <c r="F70" s="49" t="n">
        <f aca="false">-198+-156</f>
        <v>-354</v>
      </c>
      <c r="G70" s="49" t="n">
        <f aca="false">F70-E70</f>
        <v>2</v>
      </c>
      <c r="H70" s="102" t="n">
        <f aca="false">(F70/E70)*100</f>
        <v>99.438202247191</v>
      </c>
      <c r="I70" s="103"/>
    </row>
    <row r="71" s="18" customFormat="true" ht="20.1" hidden="false" customHeight="true" outlineLevel="0" collapsed="false">
      <c r="A71" s="31" t="s">
        <v>44</v>
      </c>
      <c r="B71" s="36" t="n">
        <v>1170</v>
      </c>
      <c r="C71" s="28" t="n">
        <f aca="false">SUM(C60:C65,C68)</f>
        <v>23456.6</v>
      </c>
      <c r="D71" s="28" t="n">
        <f aca="false">SUM(D60:D65,D68)</f>
        <v>178.400000000017</v>
      </c>
      <c r="E71" s="28" t="n">
        <f aca="false">SUM(E60:E65,E68)</f>
        <v>-3224.39999999999</v>
      </c>
      <c r="F71" s="28" t="n">
        <f aca="false">SUM(F60:F65,F68)</f>
        <v>5030.10000000002</v>
      </c>
      <c r="G71" s="33" t="n">
        <f aca="false">F71-E71</f>
        <v>8254.50000000001</v>
      </c>
      <c r="H71" s="100" t="n">
        <f aca="false">(F71/E71)*100</f>
        <v>-156.001116486789</v>
      </c>
      <c r="I71" s="101"/>
    </row>
    <row r="72" customFormat="false" ht="20.1" hidden="false" customHeight="true" outlineLevel="0" collapsed="false">
      <c r="A72" s="29" t="s">
        <v>45</v>
      </c>
      <c r="B72" s="12" t="n">
        <v>1180</v>
      </c>
      <c r="C72" s="49" t="n">
        <f aca="false">-19375</f>
        <v>-19375</v>
      </c>
      <c r="D72" s="49" t="n">
        <f aca="false">-18040</f>
        <v>-18040</v>
      </c>
      <c r="E72" s="49" t="n">
        <f aca="false">-44+-50+31.5</f>
        <v>-62.5</v>
      </c>
      <c r="F72" s="49" t="n">
        <f aca="false">-6535</f>
        <v>-6535</v>
      </c>
      <c r="G72" s="49" t="n">
        <f aca="false">F72-E72</f>
        <v>-6472.5</v>
      </c>
      <c r="H72" s="102" t="n">
        <f aca="false">(F72/E72)*100</f>
        <v>10456</v>
      </c>
      <c r="I72" s="103"/>
    </row>
    <row r="73" customFormat="false" ht="20.1" hidden="false" customHeight="true" outlineLevel="0" collapsed="false">
      <c r="A73" s="29" t="s">
        <v>46</v>
      </c>
      <c r="B73" s="12" t="n">
        <v>1181</v>
      </c>
      <c r="C73" s="49"/>
      <c r="D73" s="49"/>
      <c r="E73" s="49"/>
      <c r="F73" s="49"/>
      <c r="G73" s="49" t="n">
        <f aca="false">F73-E73</f>
        <v>0</v>
      </c>
      <c r="H73" s="102" t="e">
        <f aca="false">(F73/E73)*100</f>
        <v>#DIV/0!</v>
      </c>
      <c r="I73" s="103"/>
    </row>
    <row r="74" customFormat="false" ht="20.1" hidden="false" customHeight="true" outlineLevel="0" collapsed="false">
      <c r="A74" s="29" t="s">
        <v>47</v>
      </c>
      <c r="B74" s="11" t="n">
        <v>1190</v>
      </c>
      <c r="C74" s="49"/>
      <c r="D74" s="49"/>
      <c r="E74" s="49"/>
      <c r="F74" s="49"/>
      <c r="G74" s="49" t="n">
        <f aca="false">F74-E74</f>
        <v>0</v>
      </c>
      <c r="H74" s="102" t="e">
        <f aca="false">(F74/E74)*100</f>
        <v>#DIV/0!</v>
      </c>
      <c r="I74" s="103"/>
    </row>
    <row r="75" customFormat="false" ht="20.1" hidden="false" customHeight="true" outlineLevel="0" collapsed="false">
      <c r="A75" s="29" t="s">
        <v>48</v>
      </c>
      <c r="B75" s="11" t="n">
        <v>1191</v>
      </c>
      <c r="C75" s="49" t="s">
        <v>192</v>
      </c>
      <c r="D75" s="49" t="s">
        <v>192</v>
      </c>
      <c r="E75" s="49" t="s">
        <v>192</v>
      </c>
      <c r="F75" s="49" t="s">
        <v>192</v>
      </c>
      <c r="G75" s="49" t="e">
        <f aca="false">F75-E75</f>
        <v>#VALUE!</v>
      </c>
      <c r="H75" s="102" t="e">
        <f aca="false">(F75/E75)*100</f>
        <v>#VALUE!</v>
      </c>
      <c r="I75" s="103"/>
    </row>
    <row r="76" s="18" customFormat="true" ht="20.1" hidden="false" customHeight="true" outlineLevel="0" collapsed="false">
      <c r="A76" s="31" t="s">
        <v>232</v>
      </c>
      <c r="B76" s="36" t="n">
        <v>1200</v>
      </c>
      <c r="C76" s="28" t="n">
        <f aca="false">SUM(C71:C75)</f>
        <v>4081.59999999998</v>
      </c>
      <c r="D76" s="28" t="n">
        <f aca="false">SUM(D71:D75)</f>
        <v>-17861.6</v>
      </c>
      <c r="E76" s="28" t="n">
        <f aca="false">SUM(E71:E75)</f>
        <v>-3286.89999999999</v>
      </c>
      <c r="F76" s="28" t="n">
        <f aca="false">SUM(F71:F75)</f>
        <v>-1504.89999999999</v>
      </c>
      <c r="G76" s="33" t="n">
        <f aca="false">F76-E76</f>
        <v>1782.00000000001</v>
      </c>
      <c r="H76" s="100" t="n">
        <f aca="false">(F76/E76)*100</f>
        <v>45.784782013447</v>
      </c>
      <c r="I76" s="101"/>
    </row>
    <row r="77" customFormat="false" ht="20.1" hidden="false" customHeight="true" outlineLevel="0" collapsed="false">
      <c r="A77" s="29" t="s">
        <v>233</v>
      </c>
      <c r="B77" s="11" t="n">
        <v>1201</v>
      </c>
      <c r="C77" s="49" t="n">
        <f aca="false">5019+2129+102.4</f>
        <v>7250.4</v>
      </c>
      <c r="D77" s="49" t="n">
        <f aca="false">128+1698+134.4</f>
        <v>1960.4</v>
      </c>
      <c r="E77" s="49" t="n">
        <f aca="false">34+229+14.2</f>
        <v>277.2</v>
      </c>
      <c r="F77" s="49" t="n">
        <f aca="false">2794+665+105.8</f>
        <v>3564.8</v>
      </c>
      <c r="G77" s="49" t="n">
        <f aca="false">F77-E77</f>
        <v>3287.6</v>
      </c>
      <c r="H77" s="102" t="n">
        <f aca="false">(F77/E77)*100</f>
        <v>1286.00288600289</v>
      </c>
      <c r="I77" s="103"/>
    </row>
    <row r="78" customFormat="false" ht="20.1" hidden="false" customHeight="true" outlineLevel="0" collapsed="false">
      <c r="A78" s="29" t="s">
        <v>234</v>
      </c>
      <c r="B78" s="11" t="n">
        <v>1202</v>
      </c>
      <c r="C78" s="49" t="n">
        <f aca="false">-2978-201.8</f>
        <v>-3179.8</v>
      </c>
      <c r="D78" s="49" t="n">
        <f aca="false">-19795-162</f>
        <v>-19957</v>
      </c>
      <c r="E78" s="49" t="n">
        <f aca="false">-3261-148.1</f>
        <v>-3409.1</v>
      </c>
      <c r="F78" s="49" t="n">
        <f aca="false">-4803-191.7</f>
        <v>-4994.7</v>
      </c>
      <c r="G78" s="49" t="n">
        <f aca="false">F78-E78</f>
        <v>-1585.6</v>
      </c>
      <c r="H78" s="102" t="n">
        <f aca="false">(F78/E78)*100</f>
        <v>146.510809304509</v>
      </c>
      <c r="I78" s="103"/>
    </row>
    <row r="79" s="18" customFormat="true" ht="20.1" hidden="false" customHeight="true" outlineLevel="0" collapsed="false">
      <c r="A79" s="31" t="s">
        <v>52</v>
      </c>
      <c r="B79" s="36" t="n">
        <v>1210</v>
      </c>
      <c r="C79" s="37" t="n">
        <f aca="false">SUM(C7,C49,C61,C63,C65,C73,C74)</f>
        <v>255057.5</v>
      </c>
      <c r="D79" s="37" t="n">
        <f aca="false">SUM(D7,D49,D61,D63,D65,D73,D74)</f>
        <v>321494.8</v>
      </c>
      <c r="E79" s="37" t="n">
        <f aca="false">SUM(E7,E49,E61,E63,E65,E73,E74)</f>
        <v>94999.9</v>
      </c>
      <c r="F79" s="37" t="n">
        <f aca="false">SUM(F7,F49,F61,F63,F65,F73,F74)</f>
        <v>111930.5</v>
      </c>
      <c r="G79" s="33" t="n">
        <f aca="false">F79-E79</f>
        <v>16930.6</v>
      </c>
      <c r="H79" s="100" t="n">
        <f aca="false">(F79/E79)*100</f>
        <v>117.821702970214</v>
      </c>
      <c r="I79" s="101"/>
    </row>
    <row r="80" s="18" customFormat="true" ht="20.1" hidden="false" customHeight="true" outlineLevel="0" collapsed="false">
      <c r="A80" s="31" t="s">
        <v>53</v>
      </c>
      <c r="B80" s="36" t="n">
        <v>1220</v>
      </c>
      <c r="C80" s="37" t="n">
        <f aca="false">SUM(C8,C18,C41,C53,C62,C64,C68,C72,C75)</f>
        <v>-250975.9</v>
      </c>
      <c r="D80" s="37" t="n">
        <f aca="false">SUM(D8,D18,D41,D53,D62,D64,D68,D72,D75)</f>
        <v>-339356.4</v>
      </c>
      <c r="E80" s="37" t="n">
        <f aca="false">SUM(E8,E18,E41,E53,E62,E64,E68,E72,E75)</f>
        <v>-98286.8</v>
      </c>
      <c r="F80" s="37" t="n">
        <f aca="false">SUM(F8,F18,F41,F53,F62,F64,F68,F72,F75)</f>
        <v>-113435.4</v>
      </c>
      <c r="G80" s="33" t="n">
        <f aca="false">F80-E80</f>
        <v>-15148.6</v>
      </c>
      <c r="H80" s="100" t="n">
        <f aca="false">(F80/E80)*100</f>
        <v>115.41264951143</v>
      </c>
      <c r="I80" s="101"/>
    </row>
    <row r="81" customFormat="false" ht="20.1" hidden="false" customHeight="true" outlineLevel="0" collapsed="false">
      <c r="A81" s="29" t="s">
        <v>54</v>
      </c>
      <c r="B81" s="11" t="n">
        <v>1230</v>
      </c>
      <c r="C81" s="49"/>
      <c r="D81" s="49"/>
      <c r="E81" s="49"/>
      <c r="F81" s="49"/>
      <c r="G81" s="49" t="n">
        <f aca="false">F81-E81</f>
        <v>0</v>
      </c>
      <c r="H81" s="102" t="e">
        <f aca="false">(F81/E81)*100</f>
        <v>#DIV/0!</v>
      </c>
      <c r="I81" s="103"/>
    </row>
    <row r="82" customFormat="false" ht="24.95" hidden="false" customHeight="true" outlineLevel="0" collapsed="false">
      <c r="A82" s="105" t="s">
        <v>235</v>
      </c>
      <c r="B82" s="105"/>
      <c r="C82" s="105"/>
      <c r="D82" s="105"/>
      <c r="E82" s="105"/>
      <c r="F82" s="105"/>
      <c r="G82" s="105"/>
      <c r="H82" s="105"/>
      <c r="I82" s="105"/>
    </row>
    <row r="83" customFormat="false" ht="20.1" hidden="false" customHeight="true" outlineLevel="0" collapsed="false">
      <c r="A83" s="29" t="s">
        <v>236</v>
      </c>
      <c r="B83" s="11" t="n">
        <v>1300</v>
      </c>
      <c r="C83" s="78" t="n">
        <f aca="false">C60</f>
        <v>19169.8</v>
      </c>
      <c r="D83" s="78" t="n">
        <f aca="false">D60</f>
        <v>-4286.29999999998</v>
      </c>
      <c r="E83" s="78" t="n">
        <f aca="false">E60</f>
        <v>-4431.39999999999</v>
      </c>
      <c r="F83" s="78" t="n">
        <f aca="false">F60</f>
        <v>4540.10000000002</v>
      </c>
      <c r="G83" s="49" t="n">
        <f aca="false">F83-E83</f>
        <v>8971.50000000001</v>
      </c>
      <c r="H83" s="102" t="n">
        <f aca="false">(F83/E83)*100</f>
        <v>-102.452949406509</v>
      </c>
      <c r="I83" s="103"/>
    </row>
    <row r="84" customFormat="false" ht="20.1" hidden="false" customHeight="true" outlineLevel="0" collapsed="false">
      <c r="A84" s="29" t="s">
        <v>237</v>
      </c>
      <c r="B84" s="11" t="n">
        <v>1301</v>
      </c>
      <c r="C84" s="78" t="n">
        <f aca="false">C96</f>
        <v>11268</v>
      </c>
      <c r="D84" s="78" t="n">
        <f aca="false">D96</f>
        <v>21859.4</v>
      </c>
      <c r="E84" s="78" t="n">
        <f aca="false">E96</f>
        <v>3057.3</v>
      </c>
      <c r="F84" s="78" t="n">
        <f aca="false">F96</f>
        <v>10114.1</v>
      </c>
      <c r="G84" s="49" t="n">
        <f aca="false">F84-E84</f>
        <v>7056.8</v>
      </c>
      <c r="H84" s="102" t="n">
        <f aca="false">(F84/E84)*100</f>
        <v>330.818042063258</v>
      </c>
      <c r="I84" s="103"/>
    </row>
    <row r="85" customFormat="false" ht="20.1" hidden="false" customHeight="true" outlineLevel="0" collapsed="false">
      <c r="A85" s="29" t="s">
        <v>238</v>
      </c>
      <c r="B85" s="11" t="n">
        <v>1302</v>
      </c>
      <c r="C85" s="78" t="n">
        <f aca="false">C50</f>
        <v>0</v>
      </c>
      <c r="D85" s="78" t="n">
        <f aca="false">D50</f>
        <v>8</v>
      </c>
      <c r="E85" s="78" t="n">
        <f aca="false">E50</f>
        <v>0</v>
      </c>
      <c r="F85" s="78" t="n">
        <f aca="false">F50</f>
        <v>8</v>
      </c>
      <c r="G85" s="49" t="n">
        <f aca="false">F85-E85</f>
        <v>8</v>
      </c>
      <c r="H85" s="102" t="e">
        <f aca="false">(F85/E85)*100</f>
        <v>#DIV/0!</v>
      </c>
      <c r="I85" s="103"/>
    </row>
    <row r="86" customFormat="false" ht="20.1" hidden="false" customHeight="true" outlineLevel="0" collapsed="false">
      <c r="A86" s="29" t="s">
        <v>239</v>
      </c>
      <c r="B86" s="11" t="n">
        <v>1303</v>
      </c>
      <c r="C86" s="78" t="str">
        <f aca="false">C54</f>
        <v>(    )</v>
      </c>
      <c r="D86" s="78" t="str">
        <f aca="false">D54</f>
        <v>(    )</v>
      </c>
      <c r="E86" s="78" t="str">
        <f aca="false">E54</f>
        <v>(    )</v>
      </c>
      <c r="F86" s="78" t="str">
        <f aca="false">F54</f>
        <v>(    )</v>
      </c>
      <c r="G86" s="49" t="e">
        <f aca="false">F86-E86</f>
        <v>#VALUE!</v>
      </c>
      <c r="H86" s="102" t="e">
        <f aca="false">(F86/E86)*100</f>
        <v>#VALUE!</v>
      </c>
      <c r="I86" s="103"/>
    </row>
    <row r="87" customFormat="false" ht="20.1" hidden="false" customHeight="true" outlineLevel="0" collapsed="false">
      <c r="A87" s="29" t="s">
        <v>240</v>
      </c>
      <c r="B87" s="11" t="n">
        <v>1304</v>
      </c>
      <c r="C87" s="78" t="n">
        <f aca="false">C51</f>
        <v>7</v>
      </c>
      <c r="D87" s="78" t="n">
        <f aca="false">D51</f>
        <v>0</v>
      </c>
      <c r="E87" s="78" t="n">
        <f aca="false">E51</f>
        <v>0</v>
      </c>
      <c r="F87" s="78" t="n">
        <f aca="false">F51</f>
        <v>0</v>
      </c>
      <c r="G87" s="49" t="n">
        <f aca="false">F87-E87</f>
        <v>0</v>
      </c>
      <c r="H87" s="102" t="e">
        <f aca="false">(F87/E87)*100</f>
        <v>#DIV/0!</v>
      </c>
      <c r="I87" s="103"/>
    </row>
    <row r="88" customFormat="false" ht="20.25" hidden="false" customHeight="true" outlineLevel="0" collapsed="false">
      <c r="A88" s="29" t="s">
        <v>241</v>
      </c>
      <c r="B88" s="11" t="n">
        <v>1305</v>
      </c>
      <c r="C88" s="78" t="str">
        <f aca="false">C55</f>
        <v>(    )</v>
      </c>
      <c r="D88" s="78" t="str">
        <f aca="false">D55</f>
        <v>(    )</v>
      </c>
      <c r="E88" s="78" t="str">
        <f aca="false">E55</f>
        <v>(    )</v>
      </c>
      <c r="F88" s="78" t="str">
        <f aca="false">F55</f>
        <v>(    )</v>
      </c>
      <c r="G88" s="49" t="e">
        <f aca="false">F88-E88</f>
        <v>#VALUE!</v>
      </c>
      <c r="H88" s="102" t="e">
        <f aca="false">(F88/E88)*100</f>
        <v>#VALUE!</v>
      </c>
      <c r="I88" s="103"/>
    </row>
    <row r="89" s="18" customFormat="true" ht="20.1" hidden="false" customHeight="true" outlineLevel="0" collapsed="false">
      <c r="A89" s="31" t="s">
        <v>36</v>
      </c>
      <c r="B89" s="36" t="n">
        <v>1310</v>
      </c>
      <c r="C89" s="106" t="e">
        <f aca="false">C83+C84-C85-C86-C87-C88</f>
        <v>#VALUE!</v>
      </c>
      <c r="D89" s="106" t="e">
        <f aca="false">D83+D84-D85-D86-D87-D88</f>
        <v>#VALUE!</v>
      </c>
      <c r="E89" s="106" t="e">
        <f aca="false">E83+E84-E85-E86-E87-E88</f>
        <v>#VALUE!</v>
      </c>
      <c r="F89" s="106" t="e">
        <f aca="false">F83+F84-F85-F86-F87-F88</f>
        <v>#VALUE!</v>
      </c>
      <c r="G89" s="33" t="e">
        <f aca="false">F89-E89</f>
        <v>#VALUE!</v>
      </c>
      <c r="H89" s="100" t="e">
        <f aca="false">(F89/E89)*100</f>
        <v>#VALUE!</v>
      </c>
      <c r="I89" s="101"/>
    </row>
    <row r="90" s="18" customFormat="true" ht="20.1" hidden="false" customHeight="true" outlineLevel="0" collapsed="false">
      <c r="A90" s="31" t="s">
        <v>55</v>
      </c>
      <c r="B90" s="31"/>
      <c r="C90" s="31"/>
      <c r="D90" s="31"/>
      <c r="E90" s="31"/>
      <c r="F90" s="31"/>
      <c r="G90" s="31"/>
      <c r="H90" s="31"/>
      <c r="I90" s="31"/>
    </row>
    <row r="91" s="18" customFormat="true" ht="20.1" hidden="false" customHeight="true" outlineLevel="0" collapsed="false">
      <c r="A91" s="29" t="s">
        <v>56</v>
      </c>
      <c r="B91" s="11" t="n">
        <v>1400</v>
      </c>
      <c r="C91" s="49" t="n">
        <f aca="false">87068+18+22+62+494+539</f>
        <v>88203</v>
      </c>
      <c r="D91" s="49" t="n">
        <f aca="false">105835+25+32+59+403+503.7</f>
        <v>106857.7</v>
      </c>
      <c r="E91" s="49" t="n">
        <f aca="false">35648+8+31+30+184+90.7</f>
        <v>35991.7</v>
      </c>
      <c r="F91" s="49" t="n">
        <f aca="false">29289+8+31+21+131+42.6</f>
        <v>29522.6</v>
      </c>
      <c r="G91" s="49" t="n">
        <f aca="false">F91-E91</f>
        <v>-6469.1</v>
      </c>
      <c r="H91" s="102" t="n">
        <f aca="false">(F91/E91)*100</f>
        <v>82.0261338030713</v>
      </c>
      <c r="I91" s="103"/>
    </row>
    <row r="92" s="18" customFormat="true" ht="20.1" hidden="false" customHeight="true" outlineLevel="0" collapsed="false">
      <c r="A92" s="29" t="s">
        <v>57</v>
      </c>
      <c r="B92" s="40" t="n">
        <v>1401</v>
      </c>
      <c r="C92" s="49" t="n">
        <f aca="false">19881+33+184+33.8</f>
        <v>20131.8</v>
      </c>
      <c r="D92" s="49" t="n">
        <f aca="false">28876+36+257+45.7</f>
        <v>29214.7</v>
      </c>
      <c r="E92" s="49" t="n">
        <f aca="false">10264+20+6</f>
        <v>10290</v>
      </c>
      <c r="F92" s="49" t="n">
        <f aca="false">6783+10+86+19.6</f>
        <v>6898.6</v>
      </c>
      <c r="G92" s="49" t="n">
        <f aca="false">F92-E92</f>
        <v>-3391.4</v>
      </c>
      <c r="H92" s="102" t="n">
        <f aca="false">(F92/E92)*100</f>
        <v>67.041788143829</v>
      </c>
      <c r="I92" s="103"/>
    </row>
    <row r="93" s="18" customFormat="true" ht="20.1" hidden="false" customHeight="true" outlineLevel="0" collapsed="false">
      <c r="A93" s="29" t="s">
        <v>58</v>
      </c>
      <c r="B93" s="40" t="n">
        <v>1402</v>
      </c>
      <c r="C93" s="49" t="n">
        <f aca="false">49867+18+15+20+310+505.2</f>
        <v>50735.2</v>
      </c>
      <c r="D93" s="49" t="n">
        <f aca="false">54795+25+10+21+146+458</f>
        <v>55455</v>
      </c>
      <c r="E93" s="49" t="n">
        <f aca="false">17252+8+10+10+84.7</f>
        <v>17364.7</v>
      </c>
      <c r="F93" s="49" t="n">
        <f aca="false">16542+8+9+9+45+23</f>
        <v>16636</v>
      </c>
      <c r="G93" s="49" t="n">
        <f aca="false">F93-E93</f>
        <v>-728.700000000001</v>
      </c>
      <c r="H93" s="102" t="n">
        <f aca="false">(F93/E93)*100</f>
        <v>95.8035554890093</v>
      </c>
      <c r="I93" s="103"/>
    </row>
    <row r="94" s="18" customFormat="true" ht="20.1" hidden="false" customHeight="true" outlineLevel="0" collapsed="false">
      <c r="A94" s="29" t="s">
        <v>59</v>
      </c>
      <c r="B94" s="40" t="n">
        <v>1410</v>
      </c>
      <c r="C94" s="49" t="n">
        <f aca="false">87559+130+344+917+3029+4585.6</f>
        <v>96564.6</v>
      </c>
      <c r="D94" s="49" t="n">
        <f aca="false">130074+121+359+925+3945+5533.3</f>
        <v>140957.3</v>
      </c>
      <c r="E94" s="49" t="n">
        <f aca="false">39556+48+122+320+1060+1477.6</f>
        <v>42583.6</v>
      </c>
      <c r="F94" s="49" t="n">
        <f aca="false">43615+41+125+388+1226+1704</f>
        <v>47099</v>
      </c>
      <c r="G94" s="49" t="n">
        <f aca="false">F94-E94</f>
        <v>4515.4</v>
      </c>
      <c r="H94" s="102" t="n">
        <f aca="false">(F94/E94)*100</f>
        <v>110.603612658394</v>
      </c>
      <c r="I94" s="103"/>
    </row>
    <row r="95" s="18" customFormat="true" ht="20.1" hidden="false" customHeight="true" outlineLevel="0" collapsed="false">
      <c r="A95" s="29" t="s">
        <v>60</v>
      </c>
      <c r="B95" s="40" t="n">
        <v>1420</v>
      </c>
      <c r="C95" s="49" t="n">
        <f aca="false">20062+28+57+159+636+969.9</f>
        <v>21911.9</v>
      </c>
      <c r="D95" s="49" t="n">
        <f aca="false">29248+27+53+167+832+1181.3</f>
        <v>31508.3</v>
      </c>
      <c r="E95" s="49" t="n">
        <f aca="false">8686+11+27+70+233+321.5</f>
        <v>9348.5</v>
      </c>
      <c r="F95" s="49" t="n">
        <f aca="false">9784+9+17+69+269+364.5</f>
        <v>10512.5</v>
      </c>
      <c r="G95" s="49" t="n">
        <f aca="false">F95-E95</f>
        <v>1164</v>
      </c>
      <c r="H95" s="102" t="n">
        <f aca="false">(F95/E95)*100</f>
        <v>112.451195378938</v>
      </c>
      <c r="I95" s="103"/>
    </row>
    <row r="96" s="18" customFormat="true" ht="20.1" hidden="false" customHeight="true" outlineLevel="0" collapsed="false">
      <c r="A96" s="29" t="s">
        <v>61</v>
      </c>
      <c r="B96" s="40" t="n">
        <v>1430</v>
      </c>
      <c r="C96" s="49" t="n">
        <f aca="false">10917+6+32+185+128</f>
        <v>11268</v>
      </c>
      <c r="D96" s="49" t="n">
        <f aca="false">21527+8+20+133+171.4</f>
        <v>21859.4</v>
      </c>
      <c r="E96" s="49" t="n">
        <f aca="false">2929+2+15+70+41.3</f>
        <v>3057.3</v>
      </c>
      <c r="F96" s="49" t="n">
        <f aca="false">10001+3+5+50+55.1</f>
        <v>10114.1</v>
      </c>
      <c r="G96" s="49" t="n">
        <f aca="false">F96-E96</f>
        <v>7056.8</v>
      </c>
      <c r="H96" s="102" t="n">
        <f aca="false">(F96/E96)*100</f>
        <v>330.818042063258</v>
      </c>
      <c r="I96" s="103"/>
    </row>
    <row r="97" s="18" customFormat="true" ht="20.1" hidden="false" customHeight="true" outlineLevel="0" collapsed="false">
      <c r="A97" s="29" t="s">
        <v>62</v>
      </c>
      <c r="B97" s="40" t="n">
        <v>1440</v>
      </c>
      <c r="C97" s="49" t="n">
        <f aca="false">4480+116+5827+1354.4</f>
        <v>11777.4</v>
      </c>
      <c r="D97" s="49" t="n">
        <f aca="false">8360+146+4617+2655.7</f>
        <v>15778.7</v>
      </c>
      <c r="E97" s="49" t="n">
        <f aca="false">2991+43+2025+521.7</f>
        <v>5580.7</v>
      </c>
      <c r="F97" s="49" t="n">
        <f aca="false">4706+45+1607+1104.1</f>
        <v>7462.1</v>
      </c>
      <c r="G97" s="49" t="n">
        <f aca="false">F97-E97</f>
        <v>1881.4</v>
      </c>
      <c r="H97" s="102" t="n">
        <f aca="false">(F97/E97)*100</f>
        <v>133.71261669683</v>
      </c>
      <c r="I97" s="103"/>
    </row>
    <row r="98" s="18" customFormat="true" ht="18.75" hidden="false" customHeight="false" outlineLevel="0" collapsed="false">
      <c r="A98" s="31" t="s">
        <v>63</v>
      </c>
      <c r="B98" s="41" t="n">
        <v>1450</v>
      </c>
      <c r="C98" s="80" t="n">
        <f aca="false">SUM(C91,C94:C97)</f>
        <v>229724.9</v>
      </c>
      <c r="D98" s="80" t="n">
        <f aca="false">SUM(D91,D94:D97)</f>
        <v>316961.4</v>
      </c>
      <c r="E98" s="80" t="n">
        <f aca="false">SUM(E91,E94:E97)</f>
        <v>96561.8</v>
      </c>
      <c r="F98" s="80" t="n">
        <f aca="false">SUM(F91,F94:F97)</f>
        <v>104710.3</v>
      </c>
      <c r="G98" s="33" t="n">
        <f aca="false">F98-E98</f>
        <v>8148.5</v>
      </c>
      <c r="H98" s="100" t="n">
        <f aca="false">(F98/E98)*100</f>
        <v>108.438637225072</v>
      </c>
      <c r="I98" s="101"/>
    </row>
    <row r="99" s="18" customFormat="true" ht="18.75" hidden="false" customHeight="false" outlineLevel="0" collapsed="false">
      <c r="A99" s="107"/>
      <c r="B99" s="108"/>
      <c r="C99" s="108"/>
      <c r="D99" s="108"/>
      <c r="E99" s="108"/>
      <c r="F99" s="108"/>
      <c r="G99" s="108"/>
      <c r="H99" s="108"/>
      <c r="I99" s="108"/>
    </row>
    <row r="100" s="18" customFormat="true" ht="18.75" hidden="false" customHeight="false" outlineLevel="0" collapsed="false">
      <c r="A100" s="107"/>
      <c r="B100" s="108"/>
      <c r="C100" s="108"/>
      <c r="D100" s="108"/>
      <c r="E100" s="108"/>
      <c r="F100" s="108"/>
      <c r="G100" s="108"/>
      <c r="H100" s="108"/>
      <c r="I100" s="108"/>
    </row>
    <row r="101" customFormat="false" ht="18.75" hidden="false" customHeight="false" outlineLevel="0" collapsed="false">
      <c r="A101" s="89"/>
    </row>
    <row r="102" customFormat="false" ht="38.95" hidden="false" customHeight="true" outlineLevel="0" collapsed="false">
      <c r="A102" s="89" t="s">
        <v>178</v>
      </c>
      <c r="C102" s="109" t="s">
        <v>179</v>
      </c>
      <c r="D102" s="109"/>
      <c r="E102" s="110"/>
      <c r="F102" s="2" t="s">
        <v>242</v>
      </c>
      <c r="I102" s="1"/>
    </row>
    <row r="103" s="97" customFormat="true" ht="18.75" hidden="false" customHeight="true" outlineLevel="0" collapsed="false">
      <c r="A103" s="4"/>
      <c r="B103" s="1"/>
      <c r="C103" s="4" t="s">
        <v>243</v>
      </c>
      <c r="D103" s="4"/>
      <c r="E103" s="1"/>
      <c r="F103" s="2"/>
      <c r="G103" s="2"/>
      <c r="H103" s="2"/>
    </row>
  </sheetData>
  <mergeCells count="12">
    <mergeCell ref="A1:I1"/>
    <mergeCell ref="A3:A4"/>
    <mergeCell ref="B3:B4"/>
    <mergeCell ref="C3:D3"/>
    <mergeCell ref="E3:I3"/>
    <mergeCell ref="A6:I6"/>
    <mergeCell ref="A82:I82"/>
    <mergeCell ref="A90:I90"/>
    <mergeCell ref="C102:D102"/>
    <mergeCell ref="F102:H102"/>
    <mergeCell ref="C103:D103"/>
    <mergeCell ref="F103:H103"/>
  </mergeCells>
  <printOptions headings="false" gridLines="false" gridLinesSet="true" horizontalCentered="false" verticalCentered="false"/>
  <pageMargins left="1.18125" right="0.39375" top="0.786805555555556" bottom="0.7875" header="0.196527777777778" footer="0.511805555555555"/>
  <pageSetup paperSize="9" scale="3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Roman,Обычный"&amp;14 5&amp;R&amp;"Times New Roman,Обычный"&amp;14Продовження додатка  3
Таблиця 1</oddHeader>
    <oddFooter/>
  </headerFooter>
  <rowBreaks count="1" manualBreakCount="1">
    <brk id="58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I48"/>
  <sheetViews>
    <sheetView windowProtection="false" showFormulas="false" showGridLines="true" showRowColHeaders="true" showZeros="true" rightToLeft="false" tabSelected="false" showOutlineSymbols="true" defaultGridColor="true" view="normal" topLeftCell="A19" colorId="64" zoomScale="55" zoomScaleNormal="55" zoomScalePageLayoutView="100" workbookViewId="0">
      <selection pane="topLeft" activeCell="A1" activeCellId="0" sqref="A1"/>
    </sheetView>
  </sheetViews>
  <sheetFormatPr defaultRowHeight="18.75"/>
  <cols>
    <col collapsed="false" hidden="false" max="1" min="1" style="111" width="86.7448979591837"/>
    <col collapsed="false" hidden="false" max="2" min="2" style="112" width="15.2551020408163"/>
    <col collapsed="false" hidden="false" max="7" min="3" style="112" width="18.6734693877551"/>
    <col collapsed="false" hidden="false" max="8" min="8" style="112" width="14.9642857142857"/>
    <col collapsed="false" hidden="false" max="9" min="9" style="111" width="9.96938775510204"/>
    <col collapsed="false" hidden="false" max="10" min="10" style="111" width="9.54081632653061"/>
    <col collapsed="false" hidden="false" max="257" min="11" style="111" width="9.11734693877551"/>
    <col collapsed="false" hidden="false" max="1025" min="258" style="0" width="9.11734693877551"/>
  </cols>
  <sheetData>
    <row r="1" customFormat="false" ht="18.75" hidden="false" customHeight="false" outlineLevel="0" collapsed="false">
      <c r="A1" s="113" t="s">
        <v>64</v>
      </c>
      <c r="B1" s="113"/>
      <c r="C1" s="113"/>
      <c r="D1" s="113"/>
      <c r="E1" s="113"/>
      <c r="F1" s="113"/>
      <c r="G1" s="113"/>
      <c r="H1" s="113"/>
    </row>
    <row r="2" customFormat="false" ht="18.75" hidden="false" customHeight="false" outlineLevel="0" collapsed="false">
      <c r="A2" s="113"/>
      <c r="B2" s="113"/>
      <c r="C2" s="113"/>
      <c r="D2" s="113"/>
      <c r="E2" s="113"/>
      <c r="F2" s="113"/>
      <c r="G2" s="113"/>
      <c r="H2" s="113"/>
    </row>
    <row r="3" customFormat="false" ht="38.25" hidden="false" customHeight="true" outlineLevel="0" collapsed="false">
      <c r="A3" s="13" t="s">
        <v>9</v>
      </c>
      <c r="B3" s="114" t="s">
        <v>10</v>
      </c>
      <c r="C3" s="12" t="s">
        <v>182</v>
      </c>
      <c r="D3" s="12"/>
      <c r="E3" s="13" t="s">
        <v>12</v>
      </c>
      <c r="F3" s="13"/>
      <c r="G3" s="13"/>
      <c r="H3" s="13"/>
    </row>
    <row r="4" customFormat="false" ht="39" hidden="false" customHeight="true" outlineLevel="0" collapsed="false">
      <c r="A4" s="13"/>
      <c r="B4" s="114"/>
      <c r="C4" s="12" t="s">
        <v>13</v>
      </c>
      <c r="D4" s="12" t="s">
        <v>14</v>
      </c>
      <c r="E4" s="12" t="s">
        <v>15</v>
      </c>
      <c r="F4" s="12" t="s">
        <v>16</v>
      </c>
      <c r="G4" s="16" t="s">
        <v>17</v>
      </c>
      <c r="H4" s="16" t="s">
        <v>18</v>
      </c>
    </row>
    <row r="5" customFormat="false" ht="18.75" hidden="false" customHeight="false" outlineLevel="0" collapsed="false">
      <c r="A5" s="13" t="n">
        <v>1</v>
      </c>
      <c r="B5" s="114" t="n">
        <v>2</v>
      </c>
      <c r="C5" s="13" t="n">
        <v>3</v>
      </c>
      <c r="D5" s="114" t="n">
        <v>4</v>
      </c>
      <c r="E5" s="13" t="n">
        <v>5</v>
      </c>
      <c r="F5" s="114" t="n">
        <v>6</v>
      </c>
      <c r="G5" s="13" t="n">
        <v>7</v>
      </c>
      <c r="H5" s="114" t="n">
        <v>8</v>
      </c>
    </row>
    <row r="6" customFormat="false" ht="30" hidden="false" customHeight="true" outlineLevel="0" collapsed="false">
      <c r="A6" s="48" t="s">
        <v>65</v>
      </c>
      <c r="B6" s="48"/>
      <c r="C6" s="48"/>
      <c r="D6" s="48"/>
      <c r="E6" s="48"/>
      <c r="F6" s="48"/>
      <c r="G6" s="48"/>
      <c r="H6" s="48"/>
    </row>
    <row r="7" customFormat="false" ht="30" hidden="false" customHeight="true" outlineLevel="0" collapsed="false">
      <c r="A7" s="45" t="s">
        <v>49</v>
      </c>
      <c r="B7" s="114" t="n">
        <v>1200</v>
      </c>
      <c r="C7" s="115" t="n">
        <f aca="false">'I. Фін результат'!C76</f>
        <v>4081.59999999998</v>
      </c>
      <c r="D7" s="115" t="n">
        <f aca="false">'I. Фін результат'!D76</f>
        <v>-17861.6</v>
      </c>
      <c r="E7" s="115" t="n">
        <f aca="false">'I. Фін результат'!E76</f>
        <v>-3286.89999999999</v>
      </c>
      <c r="F7" s="115" t="n">
        <f aca="false">'I. Фін результат'!F76</f>
        <v>-1504.89999999999</v>
      </c>
      <c r="G7" s="116" t="n">
        <f aca="false">F7-E7</f>
        <v>1782.00000000001</v>
      </c>
      <c r="H7" s="117" t="n">
        <f aca="false">(F7/E7)*100</f>
        <v>45.784782013447</v>
      </c>
    </row>
    <row r="8" customFormat="false" ht="48.95" hidden="false" customHeight="true" outlineLevel="0" collapsed="false">
      <c r="A8" s="45" t="s">
        <v>66</v>
      </c>
      <c r="B8" s="11" t="n">
        <v>2000</v>
      </c>
      <c r="C8" s="49" t="n">
        <f aca="false">-4903+4186+139</f>
        <v>-578</v>
      </c>
      <c r="D8" s="49" t="n">
        <f aca="false">12179+3859+32.2</f>
        <v>16070.2</v>
      </c>
      <c r="E8" s="49" t="n">
        <f aca="false">-10408+5480+130.4</f>
        <v>-4797.6</v>
      </c>
      <c r="F8" s="49" t="n">
        <f aca="false">5605+4892+29.7</f>
        <v>10526.7</v>
      </c>
      <c r="G8" s="116" t="n">
        <f aca="false">F8-E8</f>
        <v>15324.3</v>
      </c>
      <c r="H8" s="117" t="n">
        <f aca="false">(F8/E8)*100</f>
        <v>-219.415957978989</v>
      </c>
    </row>
    <row r="9" customFormat="false" ht="45" hidden="false" customHeight="true" outlineLevel="0" collapsed="false">
      <c r="A9" s="45" t="s">
        <v>67</v>
      </c>
      <c r="B9" s="11" t="n">
        <v>2010</v>
      </c>
      <c r="C9" s="78" t="n">
        <f aca="false">SUM(C10:C11)</f>
        <v>0</v>
      </c>
      <c r="D9" s="78" t="n">
        <f aca="false">SUM(D10:D11)</f>
        <v>0</v>
      </c>
      <c r="E9" s="78" t="n">
        <f aca="false">SUM(E10:E11)</f>
        <v>0</v>
      </c>
      <c r="F9" s="78" t="n">
        <f aca="false">SUM(F10:F11)</f>
        <v>0</v>
      </c>
      <c r="G9" s="116" t="n">
        <f aca="false">F9-E9</f>
        <v>0</v>
      </c>
      <c r="H9" s="117" t="e">
        <f aca="false">(F9/E9)*100</f>
        <v>#DIV/0!</v>
      </c>
    </row>
    <row r="10" customFormat="false" ht="45" hidden="false" customHeight="true" outlineLevel="0" collapsed="false">
      <c r="A10" s="29" t="s">
        <v>68</v>
      </c>
      <c r="B10" s="11" t="n">
        <v>2011</v>
      </c>
      <c r="C10" s="49" t="s">
        <v>192</v>
      </c>
      <c r="D10" s="49" t="s">
        <v>192</v>
      </c>
      <c r="E10" s="49" t="s">
        <v>192</v>
      </c>
      <c r="F10" s="49" t="s">
        <v>192</v>
      </c>
      <c r="G10" s="116" t="e">
        <f aca="false">F10-E10</f>
        <v>#VALUE!</v>
      </c>
      <c r="H10" s="117" t="e">
        <f aca="false">(F10/E10)*100</f>
        <v>#VALUE!</v>
      </c>
    </row>
    <row r="11" customFormat="false" ht="45" hidden="false" customHeight="true" outlineLevel="0" collapsed="false">
      <c r="A11" s="29" t="s">
        <v>69</v>
      </c>
      <c r="B11" s="11" t="n">
        <v>2012</v>
      </c>
      <c r="C11" s="49" t="s">
        <v>192</v>
      </c>
      <c r="D11" s="49" t="s">
        <v>192</v>
      </c>
      <c r="E11" s="49" t="s">
        <v>192</v>
      </c>
      <c r="F11" s="49" t="s">
        <v>192</v>
      </c>
      <c r="G11" s="116" t="e">
        <f aca="false">F11-E11</f>
        <v>#VALUE!</v>
      </c>
      <c r="H11" s="117" t="e">
        <f aca="false">(F11/E11)*100</f>
        <v>#VALUE!</v>
      </c>
    </row>
    <row r="12" customFormat="false" ht="24.95" hidden="false" customHeight="true" outlineLevel="0" collapsed="false">
      <c r="A12" s="29" t="s">
        <v>70</v>
      </c>
      <c r="B12" s="11" t="s">
        <v>71</v>
      </c>
      <c r="C12" s="49" t="s">
        <v>192</v>
      </c>
      <c r="D12" s="49" t="s">
        <v>192</v>
      </c>
      <c r="E12" s="49" t="s">
        <v>192</v>
      </c>
      <c r="F12" s="49" t="s">
        <v>192</v>
      </c>
      <c r="G12" s="116" t="e">
        <f aca="false">F12-E12</f>
        <v>#VALUE!</v>
      </c>
      <c r="H12" s="117" t="e">
        <f aca="false">(F12/E12)*100</f>
        <v>#VALUE!</v>
      </c>
    </row>
    <row r="13" customFormat="false" ht="24.95" hidden="false" customHeight="true" outlineLevel="0" collapsed="false">
      <c r="A13" s="29" t="s">
        <v>72</v>
      </c>
      <c r="B13" s="11" t="n">
        <v>2020</v>
      </c>
      <c r="C13" s="49"/>
      <c r="D13" s="49"/>
      <c r="E13" s="49"/>
      <c r="F13" s="49"/>
      <c r="G13" s="116" t="n">
        <f aca="false">F13-E13</f>
        <v>0</v>
      </c>
      <c r="H13" s="117" t="e">
        <f aca="false">(F13/E13)*100</f>
        <v>#DIV/0!</v>
      </c>
    </row>
    <row r="14" s="118" customFormat="true" ht="24.95" hidden="false" customHeight="true" outlineLevel="0" collapsed="false">
      <c r="A14" s="45" t="s">
        <v>73</v>
      </c>
      <c r="B14" s="11" t="n">
        <v>2030</v>
      </c>
      <c r="C14" s="49" t="n">
        <f aca="false">-45</f>
        <v>-45</v>
      </c>
      <c r="D14" s="49" t="n">
        <f aca="false">-38</f>
        <v>-38</v>
      </c>
      <c r="E14" s="49" t="n">
        <f aca="false">-7</f>
        <v>-7</v>
      </c>
      <c r="F14" s="49" t="n">
        <f aca="false">-19</f>
        <v>-19</v>
      </c>
      <c r="G14" s="116" t="n">
        <f aca="false">F14-E14</f>
        <v>-12</v>
      </c>
      <c r="H14" s="117" t="n">
        <f aca="false">(F14/E14)*100</f>
        <v>271.428571428571</v>
      </c>
    </row>
    <row r="15" customFormat="false" ht="24.95" hidden="false" customHeight="true" outlineLevel="0" collapsed="false">
      <c r="A15" s="45" t="s">
        <v>244</v>
      </c>
      <c r="B15" s="11" t="n">
        <v>2031</v>
      </c>
      <c r="C15" s="49" t="n">
        <f aca="false">-45</f>
        <v>-45</v>
      </c>
      <c r="D15" s="49" t="n">
        <f aca="false">-38</f>
        <v>-38</v>
      </c>
      <c r="E15" s="49" t="n">
        <f aca="false">-7</f>
        <v>-7</v>
      </c>
      <c r="F15" s="49" t="n">
        <f aca="false">-19</f>
        <v>-19</v>
      </c>
      <c r="G15" s="116" t="n">
        <f aca="false">F15-E15</f>
        <v>-12</v>
      </c>
      <c r="H15" s="117" t="n">
        <f aca="false">(F15/E15)*100</f>
        <v>271.428571428571</v>
      </c>
    </row>
    <row r="16" customFormat="false" ht="24.95" hidden="false" customHeight="true" outlineLevel="0" collapsed="false">
      <c r="A16" s="45" t="s">
        <v>74</v>
      </c>
      <c r="B16" s="11" t="n">
        <v>2040</v>
      </c>
      <c r="C16" s="49" t="s">
        <v>192</v>
      </c>
      <c r="D16" s="49" t="s">
        <v>192</v>
      </c>
      <c r="E16" s="49" t="s">
        <v>192</v>
      </c>
      <c r="F16" s="49" t="s">
        <v>192</v>
      </c>
      <c r="G16" s="116" t="e">
        <f aca="false">F16-E16</f>
        <v>#VALUE!</v>
      </c>
      <c r="H16" s="117" t="e">
        <f aca="false">(F16/E16)*100</f>
        <v>#VALUE!</v>
      </c>
    </row>
    <row r="17" customFormat="false" ht="24.95" hidden="false" customHeight="true" outlineLevel="0" collapsed="false">
      <c r="A17" s="45" t="s">
        <v>245</v>
      </c>
      <c r="B17" s="11" t="n">
        <v>2050</v>
      </c>
      <c r="C17" s="49" t="s">
        <v>192</v>
      </c>
      <c r="D17" s="49" t="s">
        <v>192</v>
      </c>
      <c r="E17" s="49" t="s">
        <v>192</v>
      </c>
      <c r="F17" s="49" t="s">
        <v>192</v>
      </c>
      <c r="G17" s="116" t="e">
        <f aca="false">F17-E17</f>
        <v>#VALUE!</v>
      </c>
      <c r="H17" s="117" t="e">
        <f aca="false">(F17/E17)*100</f>
        <v>#VALUE!</v>
      </c>
    </row>
    <row r="18" customFormat="false" ht="24.95" hidden="false" customHeight="true" outlineLevel="0" collapsed="false">
      <c r="A18" s="45" t="s">
        <v>246</v>
      </c>
      <c r="B18" s="11" t="n">
        <v>2060</v>
      </c>
      <c r="C18" s="49" t="s">
        <v>192</v>
      </c>
      <c r="D18" s="49" t="s">
        <v>192</v>
      </c>
      <c r="E18" s="49" t="s">
        <v>192</v>
      </c>
      <c r="F18" s="49" t="s">
        <v>192</v>
      </c>
      <c r="G18" s="116" t="e">
        <f aca="false">F18-E18</f>
        <v>#VALUE!</v>
      </c>
      <c r="H18" s="117" t="e">
        <f aca="false">(F18/E18)*100</f>
        <v>#VALUE!</v>
      </c>
    </row>
    <row r="19" customFormat="false" ht="49.5" hidden="false" customHeight="true" outlineLevel="0" collapsed="false">
      <c r="A19" s="45" t="s">
        <v>77</v>
      </c>
      <c r="B19" s="11" t="n">
        <v>2070</v>
      </c>
      <c r="C19" s="47" t="n">
        <f aca="false">SUM(C7:C9,C13,C14,C16:C18)</f>
        <v>3458.59999999998</v>
      </c>
      <c r="D19" s="47" t="n">
        <f aca="false">SUM(D7:D9,D13,D14,D16:D18)</f>
        <v>-1829.39999999998</v>
      </c>
      <c r="E19" s="47" t="n">
        <f aca="false">SUM(E7:E9,E13,E14,E16:E18)</f>
        <v>-8091.49999999999</v>
      </c>
      <c r="F19" s="47" t="n">
        <f aca="false">SUM(F7:F9,F13,F14,F16:F18)</f>
        <v>9002.80000000002</v>
      </c>
      <c r="G19" s="116" t="n">
        <f aca="false">F19-E19</f>
        <v>17094.3</v>
      </c>
      <c r="H19" s="117" t="n">
        <f aca="false">(F19/E19)*100</f>
        <v>-111.262435889514</v>
      </c>
    </row>
    <row r="20" customFormat="false" ht="35.1" hidden="false" customHeight="true" outlineLevel="0" collapsed="false">
      <c r="A20" s="48" t="s">
        <v>78</v>
      </c>
      <c r="B20" s="48"/>
      <c r="C20" s="48"/>
      <c r="D20" s="48"/>
      <c r="E20" s="48"/>
      <c r="F20" s="48"/>
      <c r="G20" s="48"/>
      <c r="H20" s="48"/>
    </row>
    <row r="21" s="118" customFormat="true" ht="37.5" hidden="false" customHeight="false" outlineLevel="0" collapsed="false">
      <c r="A21" s="48" t="s">
        <v>79</v>
      </c>
      <c r="B21" s="36" t="n">
        <v>2110</v>
      </c>
      <c r="C21" s="28" t="n">
        <f aca="false">SUM(C22:C30)</f>
        <v>12560.8</v>
      </c>
      <c r="D21" s="28" t="n">
        <f aca="false">SUM(D22:D30)</f>
        <v>22976.6</v>
      </c>
      <c r="E21" s="28" t="n">
        <f aca="false">SUM(E22:E30)</f>
        <v>2757.3</v>
      </c>
      <c r="F21" s="28" t="n">
        <f aca="false">SUM(F22:F30)</f>
        <v>9243.5</v>
      </c>
      <c r="G21" s="33" t="n">
        <f aca="false">F21-E21</f>
        <v>6486.2</v>
      </c>
      <c r="H21" s="100" t="n">
        <f aca="false">(F21/E21)*100</f>
        <v>335.237369890835</v>
      </c>
    </row>
    <row r="22" customFormat="false" ht="19.35" hidden="false" customHeight="false" outlineLevel="0" collapsed="false">
      <c r="A22" s="29" t="s">
        <v>80</v>
      </c>
      <c r="B22" s="11" t="n">
        <v>2111</v>
      </c>
      <c r="C22" s="49" t="n">
        <f aca="false">8484+-381+43.3</f>
        <v>8146.3</v>
      </c>
      <c r="D22" s="49" t="n">
        <f aca="false">14043+-350+22.7</f>
        <v>13715.7</v>
      </c>
      <c r="E22" s="49" t="n">
        <f aca="false">7+-50</f>
        <v>-43</v>
      </c>
      <c r="F22" s="49" t="n">
        <f aca="false">6160+0.1</f>
        <v>6160.1</v>
      </c>
      <c r="G22" s="49" t="n">
        <f aca="false">F22-E22</f>
        <v>6203.1</v>
      </c>
      <c r="H22" s="102" t="n">
        <f aca="false">(F22/E22)*100</f>
        <v>-14325.8139534884</v>
      </c>
    </row>
    <row r="23" customFormat="false" ht="19.35" hidden="false" customHeight="false" outlineLevel="0" collapsed="false">
      <c r="A23" s="29" t="s">
        <v>81</v>
      </c>
      <c r="B23" s="11" t="n">
        <v>2112</v>
      </c>
      <c r="C23" s="49" t="n">
        <f aca="false">6269+22+271+-1823+49.2</f>
        <v>4788.2</v>
      </c>
      <c r="D23" s="49" t="n">
        <f aca="false">11221+33+282+-1978+31.2</f>
        <v>9589.2</v>
      </c>
      <c r="E23" s="49" t="n">
        <f aca="false">3604+10+110+-595+15.6</f>
        <v>3144.6</v>
      </c>
      <c r="F23" s="49" t="n">
        <f aca="false">3609+11+81+-643+12.7</f>
        <v>3070.7</v>
      </c>
      <c r="G23" s="49" t="n">
        <f aca="false">F23-E23</f>
        <v>-73.9000000000001</v>
      </c>
      <c r="H23" s="102" t="n">
        <f aca="false">(F23/E23)*100</f>
        <v>97.6499395789608</v>
      </c>
    </row>
    <row r="24" s="118" customFormat="true" ht="18.75" hidden="false" customHeight="true" outlineLevel="0" collapsed="false">
      <c r="A24" s="45" t="s">
        <v>82</v>
      </c>
      <c r="B24" s="13" t="n">
        <v>2113</v>
      </c>
      <c r="C24" s="49" t="n">
        <f aca="false">-1388</f>
        <v>-1388</v>
      </c>
      <c r="D24" s="49" t="n">
        <f aca="false">-1675</f>
        <v>-1675</v>
      </c>
      <c r="E24" s="49" t="n">
        <f aca="false">-648</f>
        <v>-648</v>
      </c>
      <c r="F24" s="49" t="n">
        <f aca="false">-478</f>
        <v>-478</v>
      </c>
      <c r="G24" s="49" t="n">
        <f aca="false">F24-E24</f>
        <v>170</v>
      </c>
      <c r="H24" s="102" t="n">
        <f aca="false">(F24/E24)*100</f>
        <v>73.7654320987654</v>
      </c>
    </row>
    <row r="25" customFormat="false" ht="18.75" hidden="false" customHeight="false" outlineLevel="0" collapsed="false">
      <c r="A25" s="45" t="s">
        <v>83</v>
      </c>
      <c r="B25" s="13" t="n">
        <v>2114</v>
      </c>
      <c r="C25" s="49"/>
      <c r="D25" s="49"/>
      <c r="E25" s="49"/>
      <c r="F25" s="49"/>
      <c r="G25" s="49" t="n">
        <f aca="false">F25-E25</f>
        <v>0</v>
      </c>
      <c r="H25" s="102" t="e">
        <f aca="false">(F25/E25)*100</f>
        <v>#DIV/0!</v>
      </c>
    </row>
    <row r="26" customFormat="false" ht="37.5" hidden="false" customHeight="false" outlineLevel="0" collapsed="false">
      <c r="A26" s="45" t="s">
        <v>84</v>
      </c>
      <c r="B26" s="13" t="n">
        <v>2115</v>
      </c>
      <c r="C26" s="49"/>
      <c r="D26" s="49"/>
      <c r="E26" s="49"/>
      <c r="F26" s="49"/>
      <c r="G26" s="49" t="n">
        <f aca="false">F26-E26</f>
        <v>0</v>
      </c>
      <c r="H26" s="102" t="e">
        <f aca="false">(F26/E26)*100</f>
        <v>#DIV/0!</v>
      </c>
    </row>
    <row r="27" s="113" customFormat="true" ht="18.75" hidden="false" customHeight="false" outlineLevel="0" collapsed="false">
      <c r="A27" s="45" t="s">
        <v>85</v>
      </c>
      <c r="B27" s="13" t="n">
        <v>2116</v>
      </c>
      <c r="C27" s="49"/>
      <c r="D27" s="49"/>
      <c r="E27" s="49"/>
      <c r="F27" s="49"/>
      <c r="G27" s="49" t="n">
        <f aca="false">F27-E27</f>
        <v>0</v>
      </c>
      <c r="H27" s="102" t="e">
        <f aca="false">(F27/E27)*100</f>
        <v>#DIV/0!</v>
      </c>
      <c r="I27" s="111"/>
    </row>
    <row r="28" customFormat="false" ht="20.1" hidden="false" customHeight="true" outlineLevel="0" collapsed="false">
      <c r="A28" s="45" t="s">
        <v>86</v>
      </c>
      <c r="B28" s="13" t="n">
        <v>2117</v>
      </c>
      <c r="C28" s="49"/>
      <c r="D28" s="49"/>
      <c r="E28" s="49"/>
      <c r="F28" s="49"/>
      <c r="G28" s="49" t="n">
        <f aca="false">F28-E28</f>
        <v>0</v>
      </c>
      <c r="H28" s="102" t="e">
        <f aca="false">(F28/E28)*100</f>
        <v>#DIV/0!</v>
      </c>
    </row>
    <row r="29" customFormat="false" ht="20.1" hidden="false" customHeight="true" outlineLevel="0" collapsed="false">
      <c r="A29" s="45" t="s">
        <v>247</v>
      </c>
      <c r="B29" s="13" t="n">
        <v>2118</v>
      </c>
      <c r="C29" s="49" t="n">
        <f aca="false">853+24+126.6</f>
        <v>1003.6</v>
      </c>
      <c r="D29" s="49" t="n">
        <f aca="false">1137+21+188.7</f>
        <v>1346.7</v>
      </c>
      <c r="E29" s="49" t="n">
        <f aca="false">240+9+50.5</f>
        <v>299.5</v>
      </c>
      <c r="F29" s="49" t="n">
        <f aca="false">403+7+80.7</f>
        <v>490.7</v>
      </c>
      <c r="G29" s="49" t="n">
        <f aca="false">F29-E29</f>
        <v>191.2</v>
      </c>
      <c r="H29" s="102" t="n">
        <f aca="false">(F29/E29)*100</f>
        <v>163.839732888147</v>
      </c>
    </row>
    <row r="30" customFormat="false" ht="20.1" hidden="false" customHeight="true" outlineLevel="0" collapsed="false">
      <c r="A30" s="45" t="s">
        <v>248</v>
      </c>
      <c r="B30" s="13" t="n">
        <v>2119</v>
      </c>
      <c r="C30" s="49" t="n">
        <f aca="false">10.7</f>
        <v>10.7</v>
      </c>
      <c r="D30" s="49"/>
      <c r="E30" s="49" t="n">
        <f aca="false">4.2</f>
        <v>4.2</v>
      </c>
      <c r="F30" s="49"/>
      <c r="G30" s="49" t="n">
        <f aca="false">F30-E30</f>
        <v>-4.2</v>
      </c>
      <c r="H30" s="102" t="n">
        <f aca="false">(F30/E30)*100</f>
        <v>0</v>
      </c>
    </row>
    <row r="31" s="118" customFormat="true" ht="37.5" hidden="false" customHeight="false" outlineLevel="0" collapsed="false">
      <c r="A31" s="48" t="s">
        <v>249</v>
      </c>
      <c r="B31" s="50" t="n">
        <v>2120</v>
      </c>
      <c r="C31" s="28" t="n">
        <f aca="false">SUM(C32:C35)</f>
        <v>13408</v>
      </c>
      <c r="D31" s="28" t="n">
        <f aca="false">SUM(D32:D35)</f>
        <v>20161.7</v>
      </c>
      <c r="E31" s="28" t="n">
        <f aca="false">SUM(E32:E35)</f>
        <v>7292.4</v>
      </c>
      <c r="F31" s="28" t="n">
        <f aca="false">SUM(F32:F35)</f>
        <v>7286.4</v>
      </c>
      <c r="G31" s="33" t="n">
        <f aca="false">F31-E31</f>
        <v>-6</v>
      </c>
      <c r="H31" s="100" t="n">
        <f aca="false">(F31/E31)*100</f>
        <v>99.9177225604739</v>
      </c>
    </row>
    <row r="32" customFormat="false" ht="20.1" hidden="false" customHeight="true" outlineLevel="0" collapsed="false">
      <c r="A32" s="45" t="s">
        <v>247</v>
      </c>
      <c r="B32" s="13" t="n">
        <v>2121</v>
      </c>
      <c r="C32" s="49" t="n">
        <f aca="false">14966+62+176+-575+708.3</f>
        <v>15337.3</v>
      </c>
      <c r="D32" s="49" t="n">
        <f aca="false">21649+66+177+-723+806</f>
        <v>21975</v>
      </c>
      <c r="E32" s="49" t="n">
        <f aca="false">6629+22+58+-191+215.5+215.5</f>
        <v>6949</v>
      </c>
      <c r="F32" s="49" t="n">
        <f aca="false">7699+22+73+-229+227.2</f>
        <v>7792.2</v>
      </c>
      <c r="G32" s="49" t="n">
        <f aca="false">F32-E32</f>
        <v>843.2</v>
      </c>
      <c r="H32" s="102" t="n">
        <f aca="false">(F32/E32)*100</f>
        <v>112.134120017269</v>
      </c>
    </row>
    <row r="33" customFormat="false" ht="20.1" hidden="false" customHeight="true" outlineLevel="0" collapsed="false">
      <c r="A33" s="45" t="s">
        <v>250</v>
      </c>
      <c r="B33" s="13" t="n">
        <v>2122</v>
      </c>
      <c r="C33" s="49" t="n">
        <f aca="false">1155+-421</f>
        <v>734</v>
      </c>
      <c r="D33" s="49" t="n">
        <f aca="false">1182+-195+21.7</f>
        <v>1008.7</v>
      </c>
      <c r="E33" s="49" t="n">
        <f aca="false">421+-149+8.4</f>
        <v>280.4</v>
      </c>
      <c r="F33" s="49" t="n">
        <f aca="false">387+-8+7.2</f>
        <v>386.2</v>
      </c>
      <c r="G33" s="49" t="n">
        <f aca="false">F33-E33</f>
        <v>105.8</v>
      </c>
      <c r="H33" s="102" t="n">
        <f aca="false">(F33/E33)*100</f>
        <v>137.731811697575</v>
      </c>
    </row>
    <row r="34" customFormat="false" ht="20.1" hidden="false" customHeight="true" outlineLevel="0" collapsed="false">
      <c r="A34" s="45" t="s">
        <v>251</v>
      </c>
      <c r="B34" s="13" t="n">
        <v>2123</v>
      </c>
      <c r="C34" s="49" t="n">
        <f aca="false">6+88+-2245</f>
        <v>-2151</v>
      </c>
      <c r="D34" s="49" t="n">
        <f aca="false">6+88+-2247</f>
        <v>-2153</v>
      </c>
      <c r="E34" s="49" t="n">
        <f aca="false">3+30+-787</f>
        <v>-754</v>
      </c>
      <c r="F34" s="49" t="n">
        <f aca="false">2+29+-749</f>
        <v>-718</v>
      </c>
      <c r="G34" s="49" t="n">
        <f aca="false">F34-E34</f>
        <v>36</v>
      </c>
      <c r="H34" s="102" t="n">
        <f aca="false">(F34/E34)*100</f>
        <v>95.2254641909815</v>
      </c>
    </row>
    <row r="35" s="118" customFormat="true" ht="19.35" hidden="false" customHeight="false" outlineLevel="0" collapsed="false">
      <c r="A35" s="45" t="s">
        <v>248</v>
      </c>
      <c r="B35" s="13" t="n">
        <v>2124</v>
      </c>
      <c r="C35" s="49" t="n">
        <f aca="false">1020+-1554+21.7</f>
        <v>-512.3</v>
      </c>
      <c r="D35" s="49" t="n">
        <f aca="false">907+-1576</f>
        <v>-669</v>
      </c>
      <c r="E35" s="49" t="n">
        <f aca="false">1300+-483</f>
        <v>817</v>
      </c>
      <c r="F35" s="49" t="n">
        <f aca="false">348+-522</f>
        <v>-174</v>
      </c>
      <c r="G35" s="49" t="n">
        <f aca="false">F35-E35</f>
        <v>-991</v>
      </c>
      <c r="H35" s="102" t="n">
        <f aca="false">(F35/E35)*100</f>
        <v>-21.297429620563</v>
      </c>
    </row>
    <row r="36" s="118" customFormat="true" ht="39" hidden="false" customHeight="true" outlineLevel="0" collapsed="false">
      <c r="A36" s="48" t="s">
        <v>252</v>
      </c>
      <c r="B36" s="50" t="n">
        <v>2130</v>
      </c>
      <c r="C36" s="28" t="n">
        <f aca="false">SUM(C37:C40)</f>
        <v>20558</v>
      </c>
      <c r="D36" s="28" t="n">
        <f aca="false">SUM(D37:D40)</f>
        <v>27867.4</v>
      </c>
      <c r="E36" s="28" t="n">
        <f aca="false">SUM(E37:E40)</f>
        <v>8887.8</v>
      </c>
      <c r="F36" s="28" t="n">
        <f aca="false">SUM(F37:F40)</f>
        <v>12281.5</v>
      </c>
      <c r="G36" s="33" t="n">
        <f aca="false">F36-E36</f>
        <v>3393.7</v>
      </c>
      <c r="H36" s="100" t="n">
        <f aca="false">(F36/E36)*100</f>
        <v>138.183802515808</v>
      </c>
    </row>
    <row r="37" customFormat="false" ht="60.75" hidden="false" customHeight="true" outlineLevel="0" collapsed="false">
      <c r="A37" s="45" t="s">
        <v>89</v>
      </c>
      <c r="B37" s="13" t="n">
        <v>2131</v>
      </c>
      <c r="C37" s="49"/>
      <c r="D37" s="49"/>
      <c r="E37" s="49"/>
      <c r="F37" s="49"/>
      <c r="G37" s="49" t="n">
        <f aca="false">F37-E37</f>
        <v>0</v>
      </c>
      <c r="H37" s="102" t="e">
        <f aca="false">(F37/E37)*100</f>
        <v>#DIV/0!</v>
      </c>
    </row>
    <row r="38" s="118" customFormat="true" ht="20.1" hidden="false" customHeight="true" outlineLevel="0" collapsed="false">
      <c r="A38" s="45" t="s">
        <v>253</v>
      </c>
      <c r="B38" s="13" t="n">
        <v>2132</v>
      </c>
      <c r="C38" s="49"/>
      <c r="D38" s="49"/>
      <c r="E38" s="49"/>
      <c r="F38" s="49"/>
      <c r="G38" s="49" t="n">
        <f aca="false">F38-E38</f>
        <v>0</v>
      </c>
      <c r="H38" s="102" t="e">
        <f aca="false">(F38/E38)*100</f>
        <v>#DIV/0!</v>
      </c>
    </row>
    <row r="39" customFormat="false" ht="20.1" hidden="false" customHeight="true" outlineLevel="0" collapsed="false">
      <c r="A39" s="45" t="s">
        <v>254</v>
      </c>
      <c r="B39" s="13" t="n">
        <v>2133</v>
      </c>
      <c r="C39" s="49" t="n">
        <f aca="false">18738+28+53+159+-636+985.2</f>
        <v>19327.2</v>
      </c>
      <c r="D39" s="49" t="n">
        <f aca="false">25448+27+54+167+-831+1184</f>
        <v>26049</v>
      </c>
      <c r="E39" s="49" t="n">
        <f aca="false">8137+11+27+70+-233+321.5</f>
        <v>8333.5</v>
      </c>
      <c r="F39" s="49" t="n">
        <f aca="false">11447+9+17+69+-268+365.7</f>
        <v>11639.7</v>
      </c>
      <c r="G39" s="49" t="n">
        <f aca="false">F39-E39</f>
        <v>3306.2</v>
      </c>
      <c r="H39" s="102" t="n">
        <f aca="false">(F39/E39)*100</f>
        <v>139.673606527869</v>
      </c>
    </row>
    <row r="40" customFormat="false" ht="20.1" hidden="false" customHeight="true" outlineLevel="0" collapsed="false">
      <c r="A40" s="45" t="s">
        <v>255</v>
      </c>
      <c r="B40" s="13" t="n">
        <v>2134</v>
      </c>
      <c r="C40" s="49" t="n">
        <f aca="false">1246+5+-48+27.8</f>
        <v>1230.8</v>
      </c>
      <c r="D40" s="49" t="n">
        <f aca="false">1790+5+-60+83.4</f>
        <v>1818.4</v>
      </c>
      <c r="E40" s="49" t="n">
        <f aca="false">561+2+-16+7.3</f>
        <v>554.3</v>
      </c>
      <c r="F40" s="49" t="n">
        <f aca="false">633+2+-19+25.8</f>
        <v>641.8</v>
      </c>
      <c r="G40" s="49" t="n">
        <f aca="false">F40-E40</f>
        <v>87.5</v>
      </c>
      <c r="H40" s="102" t="n">
        <f aca="false">(F40/E40)*100</f>
        <v>115.785675626917</v>
      </c>
    </row>
    <row r="41" s="118" customFormat="true" ht="20.1" hidden="false" customHeight="true" outlineLevel="0" collapsed="false">
      <c r="A41" s="48" t="s">
        <v>256</v>
      </c>
      <c r="B41" s="50" t="n">
        <v>2140</v>
      </c>
      <c r="C41" s="28" t="n">
        <f aca="false">SUM(C42:C43)</f>
        <v>0.4</v>
      </c>
      <c r="D41" s="28" t="n">
        <f aca="false">SUM(D42:D43)</f>
        <v>0.6</v>
      </c>
      <c r="E41" s="28" t="n">
        <f aca="false">SUM(E42:E43)</f>
        <v>0</v>
      </c>
      <c r="F41" s="28" t="n">
        <f aca="false">SUM(F42:F43)</f>
        <v>0</v>
      </c>
      <c r="G41" s="33" t="n">
        <f aca="false">F41-E41</f>
        <v>0</v>
      </c>
      <c r="H41" s="100" t="e">
        <f aca="false">(F41/E41)*100</f>
        <v>#DIV/0!</v>
      </c>
    </row>
    <row r="42" customFormat="false" ht="37.5" hidden="false" customHeight="false" outlineLevel="0" collapsed="false">
      <c r="A42" s="45" t="s">
        <v>257</v>
      </c>
      <c r="B42" s="13" t="n">
        <v>2141</v>
      </c>
      <c r="C42" s="49"/>
      <c r="D42" s="49"/>
      <c r="E42" s="49"/>
      <c r="F42" s="49"/>
      <c r="G42" s="49" t="n">
        <f aca="false">F42-E42</f>
        <v>0</v>
      </c>
      <c r="H42" s="102" t="e">
        <f aca="false">(F42/E42)*100</f>
        <v>#DIV/0!</v>
      </c>
    </row>
    <row r="43" s="118" customFormat="true" ht="20.1" hidden="false" customHeight="true" outlineLevel="0" collapsed="false">
      <c r="A43" s="45" t="s">
        <v>258</v>
      </c>
      <c r="B43" s="13" t="n">
        <v>2142</v>
      </c>
      <c r="C43" s="49" t="n">
        <v>0.4</v>
      </c>
      <c r="D43" s="49" t="n">
        <v>0.6</v>
      </c>
      <c r="E43" s="49"/>
      <c r="F43" s="49"/>
      <c r="G43" s="49" t="n">
        <f aca="false">F43-E43</f>
        <v>0</v>
      </c>
      <c r="H43" s="102" t="e">
        <f aca="false">(F43/E43)*100</f>
        <v>#DIV/0!</v>
      </c>
    </row>
    <row r="44" s="118" customFormat="true" ht="21.75" hidden="false" customHeight="true" outlineLevel="0" collapsed="false">
      <c r="A44" s="48" t="s">
        <v>91</v>
      </c>
      <c r="B44" s="50" t="n">
        <v>2200</v>
      </c>
      <c r="C44" s="28" t="n">
        <f aca="false">SUM(C21,C31,C36,C41)</f>
        <v>46527.2</v>
      </c>
      <c r="D44" s="28" t="n">
        <f aca="false">SUM(D21,D31,D36,D41)</f>
        <v>71006.3</v>
      </c>
      <c r="E44" s="28" t="n">
        <f aca="false">SUM(E21,E31,E36,E41)</f>
        <v>18937.5</v>
      </c>
      <c r="F44" s="28" t="n">
        <f aca="false">SUM(F21,F31,F36,F41)</f>
        <v>28811.4</v>
      </c>
      <c r="G44" s="33" t="n">
        <f aca="false">F44-E44</f>
        <v>9873.9</v>
      </c>
      <c r="H44" s="100" t="n">
        <f aca="false">(F44/E44)*100</f>
        <v>152.139405940594</v>
      </c>
    </row>
    <row r="45" s="118" customFormat="true" ht="18.75" hidden="false" customHeight="false" outlineLevel="0" collapsed="false">
      <c r="A45" s="119"/>
      <c r="B45" s="112"/>
      <c r="C45" s="112"/>
      <c r="D45" s="112"/>
      <c r="E45" s="112"/>
      <c r="F45" s="112"/>
      <c r="G45" s="112"/>
      <c r="H45" s="112"/>
    </row>
    <row r="46" s="118" customFormat="true" ht="18.75" hidden="false" customHeight="false" outlineLevel="0" collapsed="false">
      <c r="A46" s="119"/>
      <c r="B46" s="112"/>
      <c r="C46" s="112"/>
      <c r="D46" s="112"/>
      <c r="E46" s="112"/>
      <c r="F46" s="112"/>
      <c r="G46" s="112"/>
      <c r="H46" s="112"/>
    </row>
    <row r="47" s="1" customFormat="true" ht="35.95" hidden="false" customHeight="true" outlineLevel="0" collapsed="false">
      <c r="A47" s="89" t="s">
        <v>178</v>
      </c>
      <c r="B47" s="2"/>
      <c r="C47" s="109" t="s">
        <v>259</v>
      </c>
      <c r="D47" s="109"/>
      <c r="E47" s="110"/>
      <c r="F47" s="2" t="s">
        <v>242</v>
      </c>
      <c r="G47" s="2"/>
      <c r="H47" s="2"/>
    </row>
    <row r="48" s="97" customFormat="true" ht="18.75" hidden="false" customHeight="true" outlineLevel="0" collapsed="false">
      <c r="A48" s="4"/>
      <c r="B48" s="1"/>
      <c r="C48" s="4" t="s">
        <v>260</v>
      </c>
      <c r="D48" s="4"/>
      <c r="E48" s="1"/>
      <c r="F48" s="120"/>
      <c r="G48" s="120"/>
      <c r="H48" s="120"/>
    </row>
  </sheetData>
  <mergeCells count="12">
    <mergeCell ref="A1:H1"/>
    <mergeCell ref="A2:H2"/>
    <mergeCell ref="A3:A4"/>
    <mergeCell ref="B3:B4"/>
    <mergeCell ref="C3:D3"/>
    <mergeCell ref="E3:H3"/>
    <mergeCell ref="A6:H6"/>
    <mergeCell ref="A20:H20"/>
    <mergeCell ref="C47:D47"/>
    <mergeCell ref="F47:H47"/>
    <mergeCell ref="C48:D48"/>
    <mergeCell ref="F48:H48"/>
  </mergeCells>
  <printOptions headings="false" gridLines="false" gridLinesSet="true" horizontalCentered="false" verticalCentered="false"/>
  <pageMargins left="1.18125" right="0.39375" top="0.786805555555556" bottom="0.7875" header="0.196527777777778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&amp;C7&amp;R&amp;"Times New Roman,Обычный"&amp;14Продовження додатка 3
Таблиця 2</oddHeader>
    <oddFooter/>
  </headerFooter>
  <rowBreaks count="1" manualBreakCount="1">
    <brk id="19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H84"/>
  <sheetViews>
    <sheetView windowProtection="false" showFormulas="false" showGridLines="true" showRowColHeaders="true" showZeros="true" rightToLeft="false" tabSelected="false" showOutlineSymbols="true" defaultGridColor="true" view="normal" topLeftCell="A46" colorId="64" zoomScale="55" zoomScaleNormal="55" zoomScalePageLayoutView="100" workbookViewId="0">
      <selection pane="topLeft" activeCell="A1" activeCellId="0" sqref="A1"/>
    </sheetView>
  </sheetViews>
  <sheetFormatPr defaultRowHeight="18.75"/>
  <cols>
    <col collapsed="false" hidden="false" max="1" min="1" style="97" width="87.8877551020408"/>
    <col collapsed="false" hidden="false" max="2" min="2" style="97" width="14.9642857142857"/>
    <col collapsed="false" hidden="false" max="7" min="3" style="97" width="20.3826530612245"/>
    <col collapsed="false" hidden="false" max="8" min="8" style="97" width="18.3877551020408"/>
    <col collapsed="false" hidden="false" max="257" min="9" style="97" width="9.11734693877551"/>
    <col collapsed="false" hidden="false" max="1025" min="258" style="0" width="9.11734693877551"/>
  </cols>
  <sheetData>
    <row r="1" customFormat="false" ht="18.75" hidden="false" customHeight="false" outlineLevel="0" collapsed="false">
      <c r="A1" s="9" t="s">
        <v>261</v>
      </c>
      <c r="B1" s="9"/>
      <c r="C1" s="9"/>
      <c r="D1" s="9"/>
      <c r="E1" s="9"/>
      <c r="F1" s="9"/>
      <c r="G1" s="9"/>
      <c r="H1" s="9"/>
    </row>
    <row r="2" customFormat="false" ht="18.75" hidden="false" customHeight="false" outlineLevel="0" collapsed="false">
      <c r="A2" s="3"/>
      <c r="B2" s="3"/>
      <c r="C2" s="3"/>
      <c r="D2" s="3"/>
      <c r="E2" s="3"/>
      <c r="F2" s="3"/>
      <c r="G2" s="3"/>
      <c r="H2" s="3"/>
    </row>
    <row r="3" customFormat="false" ht="48" hidden="false" customHeight="true" outlineLevel="0" collapsed="false">
      <c r="A3" s="12" t="s">
        <v>9</v>
      </c>
      <c r="B3" s="121" t="s">
        <v>262</v>
      </c>
      <c r="C3" s="12" t="s">
        <v>263</v>
      </c>
      <c r="D3" s="12"/>
      <c r="E3" s="13" t="s">
        <v>12</v>
      </c>
      <c r="F3" s="13"/>
      <c r="G3" s="13"/>
      <c r="H3" s="13"/>
    </row>
    <row r="4" customFormat="false" ht="38.25" hidden="false" customHeight="true" outlineLevel="0" collapsed="false">
      <c r="A4" s="12"/>
      <c r="B4" s="121"/>
      <c r="C4" s="12" t="s">
        <v>13</v>
      </c>
      <c r="D4" s="12" t="s">
        <v>14</v>
      </c>
      <c r="E4" s="12" t="s">
        <v>15</v>
      </c>
      <c r="F4" s="12" t="s">
        <v>16</v>
      </c>
      <c r="G4" s="16" t="s">
        <v>17</v>
      </c>
      <c r="H4" s="16" t="s">
        <v>18</v>
      </c>
    </row>
    <row r="5" customFormat="false" ht="18.75" hidden="false" customHeight="false" outlineLevel="0" collapsed="false">
      <c r="A5" s="16" t="n">
        <v>1</v>
      </c>
      <c r="B5" s="122" t="n">
        <v>2</v>
      </c>
      <c r="C5" s="16" t="n">
        <v>3</v>
      </c>
      <c r="D5" s="122" t="n">
        <v>4</v>
      </c>
      <c r="E5" s="16" t="n">
        <v>5</v>
      </c>
      <c r="F5" s="122" t="n">
        <v>6</v>
      </c>
      <c r="G5" s="16" t="n">
        <v>7</v>
      </c>
      <c r="H5" s="122" t="n">
        <v>8</v>
      </c>
    </row>
    <row r="6" customFormat="false" ht="18.75" hidden="false" customHeight="false" outlineLevel="0" collapsed="false">
      <c r="A6" s="123" t="s">
        <v>264</v>
      </c>
      <c r="B6" s="124"/>
      <c r="C6" s="124"/>
      <c r="D6" s="124"/>
      <c r="E6" s="124"/>
      <c r="F6" s="124"/>
      <c r="G6" s="124"/>
      <c r="H6" s="125"/>
    </row>
    <row r="7" s="128" customFormat="true" ht="24.95" hidden="false" customHeight="true" outlineLevel="0" collapsed="false">
      <c r="A7" s="126" t="s">
        <v>265</v>
      </c>
      <c r="B7" s="127" t="n">
        <v>3000</v>
      </c>
      <c r="C7" s="28" t="n">
        <f aca="false">SUM(C8:C9,C11:C13,C17)</f>
        <v>235954.9</v>
      </c>
      <c r="D7" s="28" t="n">
        <f aca="false">SUM(D8:D9,D11:D13,D17)</f>
        <v>305642.2</v>
      </c>
      <c r="E7" s="28" t="n">
        <f aca="false">SUM(E8:E9,E11:E13,E17)</f>
        <v>94294.9</v>
      </c>
      <c r="F7" s="28" t="n">
        <f aca="false">SUM(F8:F9,F11:F13,F17)</f>
        <v>108132.6</v>
      </c>
      <c r="G7" s="33" t="n">
        <f aca="false">F7-E7</f>
        <v>13837.7</v>
      </c>
      <c r="H7" s="100" t="n">
        <f aca="false">(F7/E7)*100</f>
        <v>114.674918792003</v>
      </c>
    </row>
    <row r="8" customFormat="false" ht="18" hidden="false" customHeight="true" outlineLevel="0" collapsed="false">
      <c r="A8" s="29" t="s">
        <v>266</v>
      </c>
      <c r="B8" s="11" t="n">
        <v>3010</v>
      </c>
      <c r="C8" s="49" t="n">
        <f aca="false">115638+152+508+1405+14079+1715.1</f>
        <v>133497.1</v>
      </c>
      <c r="D8" s="49" t="n">
        <f aca="false">168934+231+559+1414+14537+1885.3</f>
        <v>187560.3</v>
      </c>
      <c r="E8" s="49" t="n">
        <f aca="false">55586+81+180+550+5170+338.5</f>
        <v>61905.5</v>
      </c>
      <c r="F8" s="49" t="n">
        <f aca="false">56023+78+242+406+4900+507.9</f>
        <v>62156.9</v>
      </c>
      <c r="G8" s="49" t="n">
        <f aca="false">F8-E8</f>
        <v>251.400000000001</v>
      </c>
      <c r="H8" s="102" t="n">
        <f aca="false">(F8/E8)*100</f>
        <v>100.406102850312</v>
      </c>
    </row>
    <row r="9" customFormat="false" ht="18" hidden="false" customHeight="true" outlineLevel="0" collapsed="false">
      <c r="A9" s="29" t="s">
        <v>267</v>
      </c>
      <c r="B9" s="11" t="n">
        <v>3020</v>
      </c>
      <c r="C9" s="49"/>
      <c r="D9" s="49"/>
      <c r="E9" s="49"/>
      <c r="F9" s="49"/>
      <c r="G9" s="49" t="n">
        <f aca="false">F9-E9</f>
        <v>0</v>
      </c>
      <c r="H9" s="102" t="e">
        <f aca="false">(F9/E9)*100</f>
        <v>#DIV/0!</v>
      </c>
    </row>
    <row r="10" customFormat="false" ht="18" hidden="false" customHeight="true" outlineLevel="0" collapsed="false">
      <c r="A10" s="29" t="s">
        <v>268</v>
      </c>
      <c r="B10" s="11" t="n">
        <v>3030</v>
      </c>
      <c r="C10" s="49" t="n">
        <f aca="false">22538</f>
        <v>22538</v>
      </c>
      <c r="D10" s="49" t="n">
        <f aca="false">31043</f>
        <v>31043</v>
      </c>
      <c r="E10" s="49" t="n">
        <f aca="false">5936+5</f>
        <v>5941</v>
      </c>
      <c r="F10" s="49" t="n">
        <f aca="false">16607</f>
        <v>16607</v>
      </c>
      <c r="G10" s="49" t="n">
        <f aca="false">F10-E10</f>
        <v>10666</v>
      </c>
      <c r="H10" s="102" t="n">
        <f aca="false">(F10/E10)*100</f>
        <v>279.532065308871</v>
      </c>
    </row>
    <row r="11" customFormat="false" ht="18" hidden="false" customHeight="true" outlineLevel="0" collapsed="false">
      <c r="A11" s="29" t="s">
        <v>269</v>
      </c>
      <c r="B11" s="11" t="n">
        <v>3040</v>
      </c>
      <c r="C11" s="49" t="n">
        <f aca="false">95642+5047.9</f>
        <v>100689.9</v>
      </c>
      <c r="D11" s="49" t="n">
        <f aca="false">106917+7897.6</f>
        <v>114814.6</v>
      </c>
      <c r="E11" s="49" t="n">
        <f aca="false">30348+29+1753</f>
        <v>32130</v>
      </c>
      <c r="F11" s="49" t="n">
        <f aca="false">41736+2839</f>
        <v>44575</v>
      </c>
      <c r="G11" s="49" t="n">
        <f aca="false">F11-E11</f>
        <v>12445</v>
      </c>
      <c r="H11" s="102" t="n">
        <f aca="false">(F11/E11)*100</f>
        <v>138.733271086212</v>
      </c>
    </row>
    <row r="12" customFormat="false" ht="18" hidden="false" customHeight="true" outlineLevel="0" collapsed="false">
      <c r="A12" s="29" t="s">
        <v>270</v>
      </c>
      <c r="B12" s="11" t="n">
        <v>3050</v>
      </c>
      <c r="C12" s="49" t="n">
        <f aca="false">8+288+9.7</f>
        <v>305.7</v>
      </c>
      <c r="D12" s="49" t="n">
        <f aca="false">236</f>
        <v>236</v>
      </c>
      <c r="E12" s="49" t="n">
        <f aca="false">5+80</f>
        <v>85</v>
      </c>
      <c r="F12" s="49" t="n">
        <f aca="false">81</f>
        <v>81</v>
      </c>
      <c r="G12" s="49" t="n">
        <f aca="false">F12-E12</f>
        <v>-4</v>
      </c>
      <c r="H12" s="102" t="n">
        <f aca="false">(F12/E12)*100</f>
        <v>95.2941176470588</v>
      </c>
    </row>
    <row r="13" customFormat="false" ht="20.1" hidden="false" customHeight="true" outlineLevel="0" collapsed="false">
      <c r="A13" s="29" t="s">
        <v>271</v>
      </c>
      <c r="B13" s="11" t="n">
        <v>3060</v>
      </c>
      <c r="C13" s="78" t="n">
        <f aca="false">SUM(C14:C16)</f>
        <v>53</v>
      </c>
      <c r="D13" s="78" t="n">
        <f aca="false">SUM(D14:D16)</f>
        <v>39</v>
      </c>
      <c r="E13" s="78" t="n">
        <f aca="false">SUM(E14:E16)</f>
        <v>0</v>
      </c>
      <c r="F13" s="78" t="n">
        <f aca="false">SUM(F14:F16)</f>
        <v>0</v>
      </c>
      <c r="G13" s="49" t="n">
        <f aca="false">F13-E13</f>
        <v>0</v>
      </c>
      <c r="H13" s="102" t="e">
        <f aca="false">(F13/E13)*100</f>
        <v>#DIV/0!</v>
      </c>
    </row>
    <row r="14" customFormat="false" ht="18" hidden="false" customHeight="true" outlineLevel="0" collapsed="false">
      <c r="A14" s="29" t="s">
        <v>272</v>
      </c>
      <c r="B14" s="11" t="n">
        <v>3061</v>
      </c>
      <c r="C14" s="49"/>
      <c r="D14" s="49"/>
      <c r="E14" s="49"/>
      <c r="F14" s="49"/>
      <c r="G14" s="49" t="n">
        <f aca="false">F14-E14</f>
        <v>0</v>
      </c>
      <c r="H14" s="102" t="e">
        <f aca="false">(F14/E14)*100</f>
        <v>#DIV/0!</v>
      </c>
    </row>
    <row r="15" customFormat="false" ht="18" hidden="false" customHeight="true" outlineLevel="0" collapsed="false">
      <c r="A15" s="29" t="s">
        <v>273</v>
      </c>
      <c r="B15" s="11" t="n">
        <v>3062</v>
      </c>
      <c r="C15" s="49" t="n">
        <f aca="false">53</f>
        <v>53</v>
      </c>
      <c r="D15" s="49" t="n">
        <f aca="false">39</f>
        <v>39</v>
      </c>
      <c r="E15" s="49"/>
      <c r="F15" s="49"/>
      <c r="G15" s="49" t="n">
        <f aca="false">F15-E15</f>
        <v>0</v>
      </c>
      <c r="H15" s="102" t="e">
        <f aca="false">(F15/E15)*100</f>
        <v>#DIV/0!</v>
      </c>
    </row>
    <row r="16" customFormat="false" ht="18" hidden="false" customHeight="true" outlineLevel="0" collapsed="false">
      <c r="A16" s="29" t="s">
        <v>274</v>
      </c>
      <c r="B16" s="11" t="n">
        <v>3063</v>
      </c>
      <c r="C16" s="49"/>
      <c r="D16" s="49"/>
      <c r="E16" s="49"/>
      <c r="F16" s="49"/>
      <c r="G16" s="49" t="n">
        <f aca="false">F16-E16</f>
        <v>0</v>
      </c>
      <c r="H16" s="102" t="e">
        <f aca="false">(F16/E16)*100</f>
        <v>#DIV/0!</v>
      </c>
    </row>
    <row r="17" customFormat="false" ht="18" hidden="false" customHeight="true" outlineLevel="0" collapsed="false">
      <c r="A17" s="29" t="s">
        <v>275</v>
      </c>
      <c r="B17" s="11" t="n">
        <v>3070</v>
      </c>
      <c r="C17" s="49" t="n">
        <f aca="false">927+53+44+177+208.2</f>
        <v>1409.2</v>
      </c>
      <c r="D17" s="49" t="n">
        <f aca="false">2620+87+47+57+181.3</f>
        <v>2992.3</v>
      </c>
      <c r="E17" s="49" t="n">
        <f aca="false">57+40+37+40.4</f>
        <v>174.4</v>
      </c>
      <c r="F17" s="49" t="n">
        <f aca="false">1143+28+19+14+115.7</f>
        <v>1319.7</v>
      </c>
      <c r="G17" s="49" t="n">
        <f aca="false">F17-E17</f>
        <v>1145.3</v>
      </c>
      <c r="H17" s="102" t="n">
        <f aca="false">(F17/E17)*100</f>
        <v>756.70871559633</v>
      </c>
    </row>
    <row r="18" customFormat="false" ht="20.1" hidden="false" customHeight="true" outlineLevel="0" collapsed="false">
      <c r="A18" s="31" t="s">
        <v>276</v>
      </c>
      <c r="B18" s="36" t="n">
        <v>3100</v>
      </c>
      <c r="C18" s="28" t="n">
        <f aca="false">SUM(C19:C22,C26,C36,C37)</f>
        <v>-256311.1</v>
      </c>
      <c r="D18" s="28" t="n">
        <f aca="false">SUM(D19:D22,D26,D36,D37)</f>
        <v>-338142.8</v>
      </c>
      <c r="E18" s="28" t="n">
        <f aca="false">SUM(E19:E22,E26,E36,E37)</f>
        <v>-100419.7</v>
      </c>
      <c r="F18" s="28" t="n">
        <f aca="false">SUM(F19:F22,F26,F36,F37)</f>
        <v>-126327</v>
      </c>
      <c r="G18" s="33" t="n">
        <f aca="false">F18-E18</f>
        <v>-25907.3</v>
      </c>
      <c r="H18" s="100" t="n">
        <f aca="false">(F18/E18)*100</f>
        <v>125.799021506736</v>
      </c>
    </row>
    <row r="19" customFormat="false" ht="18" hidden="false" customHeight="true" outlineLevel="0" collapsed="false">
      <c r="A19" s="29" t="s">
        <v>277</v>
      </c>
      <c r="B19" s="11" t="n">
        <v>3110</v>
      </c>
      <c r="C19" s="49" t="n">
        <f aca="false">-112439+-22+-65+-209+-4505+-1167</f>
        <v>-118407</v>
      </c>
      <c r="D19" s="49" t="n">
        <f aca="false">-128975+-30+-101+-228+-3205+-3016.5</f>
        <v>-135555.5</v>
      </c>
      <c r="E19" s="49" t="n">
        <f aca="false">-38265+-10+-98+-80+-1459+-226.1</f>
        <v>-40138.1</v>
      </c>
      <c r="F19" s="49" t="n">
        <f aca="false">-50517+-10+-37+-83+-1133+-1370.4</f>
        <v>-53150.4</v>
      </c>
      <c r="G19" s="49" t="n">
        <f aca="false">F19-E19</f>
        <v>-13012.3</v>
      </c>
      <c r="H19" s="102" t="n">
        <f aca="false">(F19/E19)*100</f>
        <v>132.418824010105</v>
      </c>
    </row>
    <row r="20" customFormat="false" ht="18" hidden="false" customHeight="true" outlineLevel="0" collapsed="false">
      <c r="A20" s="29" t="s">
        <v>278</v>
      </c>
      <c r="B20" s="11" t="n">
        <v>3120</v>
      </c>
      <c r="C20" s="49" t="n">
        <f aca="false">-76402+-130+-283+-917+-2412+-4170.4</f>
        <v>-84314.4</v>
      </c>
      <c r="D20" s="49" t="n">
        <f aca="false">-103393+-121+-298+-928+-3174+-4938.2</f>
        <v>-112852.2</v>
      </c>
      <c r="E20" s="49" t="n">
        <f aca="false">-33559+-48+-71+-320+-1060+-1327.9</f>
        <v>-36385.9</v>
      </c>
      <c r="F20" s="49" t="n">
        <f aca="false">-37539+-41+-103+-388+-991+-1531.9</f>
        <v>-40593.9</v>
      </c>
      <c r="G20" s="49" t="n">
        <f aca="false">F20-E20</f>
        <v>-4208</v>
      </c>
      <c r="H20" s="102" t="n">
        <f aca="false">(F20/E20)*100</f>
        <v>111.564919378111</v>
      </c>
    </row>
    <row r="21" customFormat="false" ht="18" hidden="false" customHeight="true" outlineLevel="0" collapsed="false">
      <c r="A21" s="29" t="s">
        <v>60</v>
      </c>
      <c r="B21" s="11" t="n">
        <v>3130</v>
      </c>
      <c r="C21" s="49" t="n">
        <f aca="false">-9371+-28+-159+-636</f>
        <v>-10194</v>
      </c>
      <c r="D21" s="49" t="n">
        <f aca="false">-25617+-27+-167+-831+-955.8</f>
        <v>-27597.8</v>
      </c>
      <c r="E21" s="49" t="n">
        <f aca="false">-7581+-11+-70+-233+-321.5</f>
        <v>-8216.5</v>
      </c>
      <c r="F21" s="49" t="n">
        <f aca="false">-9043+-9+-69+-268+-268.4</f>
        <v>-9657.4</v>
      </c>
      <c r="G21" s="49" t="n">
        <f aca="false">F21-E21</f>
        <v>-1440.9</v>
      </c>
      <c r="H21" s="102" t="n">
        <f aca="false">(F21/E21)*100</f>
        <v>117.536664029696</v>
      </c>
    </row>
    <row r="22" customFormat="false" ht="18" hidden="false" customHeight="true" outlineLevel="0" collapsed="false">
      <c r="A22" s="29" t="s">
        <v>279</v>
      </c>
      <c r="B22" s="11" t="n">
        <v>3140</v>
      </c>
      <c r="C22" s="78" t="n">
        <f aca="false">SUM(C23:C25)</f>
        <v>0</v>
      </c>
      <c r="D22" s="78" t="n">
        <f aca="false">SUM(D23:D25)</f>
        <v>-18</v>
      </c>
      <c r="E22" s="78" t="n">
        <f aca="false">SUM(E23:E25)</f>
        <v>0</v>
      </c>
      <c r="F22" s="78" t="n">
        <f aca="false">SUM(F23:F25)</f>
        <v>-18</v>
      </c>
      <c r="G22" s="49" t="n">
        <f aca="false">F22-E22</f>
        <v>-18</v>
      </c>
      <c r="H22" s="102" t="e">
        <f aca="false">(F22/E22)*100</f>
        <v>#DIV/0!</v>
      </c>
    </row>
    <row r="23" customFormat="false" ht="18" hidden="false" customHeight="true" outlineLevel="0" collapsed="false">
      <c r="A23" s="29" t="s">
        <v>272</v>
      </c>
      <c r="B23" s="11" t="n">
        <v>3141</v>
      </c>
      <c r="C23" s="49" t="s">
        <v>192</v>
      </c>
      <c r="D23" s="49" t="s">
        <v>192</v>
      </c>
      <c r="E23" s="49" t="s">
        <v>192</v>
      </c>
      <c r="F23" s="49" t="s">
        <v>192</v>
      </c>
      <c r="G23" s="49" t="e">
        <f aca="false">F23-E23</f>
        <v>#VALUE!</v>
      </c>
      <c r="H23" s="102" t="e">
        <f aca="false">(F23/E23)*100</f>
        <v>#VALUE!</v>
      </c>
    </row>
    <row r="24" customFormat="false" ht="18" hidden="false" customHeight="true" outlineLevel="0" collapsed="false">
      <c r="A24" s="29" t="s">
        <v>273</v>
      </c>
      <c r="B24" s="11" t="n">
        <v>3142</v>
      </c>
      <c r="C24" s="49" t="s">
        <v>192</v>
      </c>
      <c r="D24" s="49" t="n">
        <f aca="false">-18</f>
        <v>-18</v>
      </c>
      <c r="E24" s="49" t="s">
        <v>192</v>
      </c>
      <c r="F24" s="49" t="n">
        <f aca="false">-18</f>
        <v>-18</v>
      </c>
      <c r="G24" s="49" t="e">
        <f aca="false">F24-E24</f>
        <v>#VALUE!</v>
      </c>
      <c r="H24" s="102" t="e">
        <f aca="false">(F24/E24)*100</f>
        <v>#VALUE!</v>
      </c>
    </row>
    <row r="25" customFormat="false" ht="18" hidden="false" customHeight="true" outlineLevel="0" collapsed="false">
      <c r="A25" s="29" t="s">
        <v>274</v>
      </c>
      <c r="B25" s="11" t="n">
        <v>3143</v>
      </c>
      <c r="C25" s="49" t="s">
        <v>192</v>
      </c>
      <c r="D25" s="49" t="s">
        <v>192</v>
      </c>
      <c r="E25" s="49" t="s">
        <v>192</v>
      </c>
      <c r="F25" s="49" t="s">
        <v>192</v>
      </c>
      <c r="G25" s="49" t="e">
        <f aca="false">F25-E25</f>
        <v>#VALUE!</v>
      </c>
      <c r="H25" s="102" t="e">
        <f aca="false">(F25/E25)*100</f>
        <v>#VALUE!</v>
      </c>
    </row>
    <row r="26" customFormat="false" ht="36" hidden="false" customHeight="true" outlineLevel="0" collapsed="false">
      <c r="A26" s="29" t="s">
        <v>280</v>
      </c>
      <c r="B26" s="11" t="n">
        <v>3150</v>
      </c>
      <c r="C26" s="78" t="n">
        <f aca="false">SUM(C27:C32,C35)</f>
        <v>-42013.3</v>
      </c>
      <c r="D26" s="78" t="n">
        <f aca="false">SUM(D27:D32,D35)</f>
        <v>-60395</v>
      </c>
      <c r="E26" s="78" t="n">
        <f aca="false">SUM(E27:E32,E35)</f>
        <v>-14925.7</v>
      </c>
      <c r="F26" s="78" t="n">
        <f aca="false">SUM(F27:F32,F35)</f>
        <v>-22090.1</v>
      </c>
      <c r="G26" s="49" t="n">
        <f aca="false">F26-E26</f>
        <v>-7164.4</v>
      </c>
      <c r="H26" s="102" t="n">
        <f aca="false">(F26/E26)*100</f>
        <v>148.000428790609</v>
      </c>
    </row>
    <row r="27" customFormat="false" ht="18" hidden="false" customHeight="true" outlineLevel="0" collapsed="false">
      <c r="A27" s="29" t="s">
        <v>80</v>
      </c>
      <c r="B27" s="11" t="n">
        <v>3151</v>
      </c>
      <c r="C27" s="49" t="n">
        <f aca="false">-8652+-381+-43.3</f>
        <v>-9076.3</v>
      </c>
      <c r="D27" s="49" t="n">
        <f aca="false">-14179+-350-22.7</f>
        <v>-14551.7</v>
      </c>
      <c r="E27" s="49" t="n">
        <f aca="false">-44+-50</f>
        <v>-94</v>
      </c>
      <c r="F27" s="49" t="n">
        <f aca="false">-6250-0.1</f>
        <v>-6250.1</v>
      </c>
      <c r="G27" s="49" t="n">
        <f aca="false">F27-E27</f>
        <v>-6156.1</v>
      </c>
      <c r="H27" s="102" t="n">
        <f aca="false">(F27/E27)*100</f>
        <v>6649.04255319149</v>
      </c>
    </row>
    <row r="28" customFormat="false" ht="18" hidden="false" customHeight="true" outlineLevel="0" collapsed="false">
      <c r="A28" s="29" t="s">
        <v>281</v>
      </c>
      <c r="B28" s="11" t="n">
        <v>3152</v>
      </c>
      <c r="C28" s="49" t="n">
        <f aca="false">-4451+-22+-271+-1823-49.2</f>
        <v>-6616.2</v>
      </c>
      <c r="D28" s="49" t="n">
        <f aca="false">-9546+-33+-282+-1978-31.2</f>
        <v>-11870.2</v>
      </c>
      <c r="E28" s="49" t="n">
        <f aca="false">-2956+-10+-110+-595-15.6</f>
        <v>-3686.6</v>
      </c>
      <c r="F28" s="49" t="n">
        <f aca="false">-3131+-11+-81+-643-12.7</f>
        <v>-3878.7</v>
      </c>
      <c r="G28" s="49" t="n">
        <f aca="false">F28-E28</f>
        <v>-192.1</v>
      </c>
      <c r="H28" s="102" t="n">
        <f aca="false">(F28/E28)*100</f>
        <v>105.210763304942</v>
      </c>
    </row>
    <row r="29" customFormat="false" ht="18" hidden="false" customHeight="true" outlineLevel="0" collapsed="false">
      <c r="A29" s="29" t="s">
        <v>83</v>
      </c>
      <c r="B29" s="11" t="n">
        <v>3153</v>
      </c>
      <c r="C29" s="49" t="s">
        <v>192</v>
      </c>
      <c r="D29" s="49" t="s">
        <v>192</v>
      </c>
      <c r="E29" s="49" t="s">
        <v>192</v>
      </c>
      <c r="F29" s="49" t="s">
        <v>192</v>
      </c>
      <c r="G29" s="49" t="e">
        <f aca="false">F29-E29</f>
        <v>#VALUE!</v>
      </c>
      <c r="H29" s="102" t="e">
        <f aca="false">(F29/E29)*100</f>
        <v>#VALUE!</v>
      </c>
    </row>
    <row r="30" customFormat="false" ht="18" hidden="false" customHeight="true" outlineLevel="0" collapsed="false">
      <c r="A30" s="29" t="s">
        <v>282</v>
      </c>
      <c r="B30" s="11" t="n">
        <v>3154</v>
      </c>
      <c r="C30" s="49" t="s">
        <v>192</v>
      </c>
      <c r="D30" s="49" t="s">
        <v>192</v>
      </c>
      <c r="E30" s="49" t="s">
        <v>192</v>
      </c>
      <c r="F30" s="49" t="s">
        <v>192</v>
      </c>
      <c r="G30" s="49" t="e">
        <f aca="false">F30-E30</f>
        <v>#VALUE!</v>
      </c>
      <c r="H30" s="102" t="e">
        <f aca="false">(F30/E30)*100</f>
        <v>#VALUE!</v>
      </c>
    </row>
    <row r="31" customFormat="false" ht="18" hidden="false" customHeight="true" outlineLevel="0" collapsed="false">
      <c r="A31" s="29" t="s">
        <v>247</v>
      </c>
      <c r="B31" s="11" t="n">
        <v>3155</v>
      </c>
      <c r="C31" s="49" t="n">
        <f aca="false">-15355+-24+-64+-176+-575-457.6</f>
        <v>-16651.6</v>
      </c>
      <c r="D31" s="49" t="n">
        <f aca="false">-22369+-21+-73+-177+-723-559.9</f>
        <v>-23922.9</v>
      </c>
      <c r="E31" s="49" t="n">
        <f aca="false">-6888+-9+-22+-58+-191-138.2</f>
        <v>-7306.2</v>
      </c>
      <c r="F31" s="49" t="n">
        <f aca="false">-7982+-7+-29+-73+-229-170.8</f>
        <v>-8490.8</v>
      </c>
      <c r="G31" s="49" t="n">
        <f aca="false">F31-E31</f>
        <v>-1184.6</v>
      </c>
      <c r="H31" s="102" t="n">
        <f aca="false">(F31/E31)*100</f>
        <v>116.213626782732</v>
      </c>
    </row>
    <row r="32" customFormat="false" ht="18" hidden="false" customHeight="true" outlineLevel="0" collapsed="false">
      <c r="A32" s="29" t="s">
        <v>283</v>
      </c>
      <c r="B32" s="11" t="n">
        <v>3156</v>
      </c>
      <c r="C32" s="78" t="n">
        <f aca="false">SUM(C33:C34)</f>
        <v>0</v>
      </c>
      <c r="D32" s="78" t="n">
        <f aca="false">SUM(D33:D34)</f>
        <v>0</v>
      </c>
      <c r="E32" s="78" t="n">
        <f aca="false">SUM(E33:E34)</f>
        <v>0</v>
      </c>
      <c r="F32" s="78" t="n">
        <f aca="false">SUM(F33:F34)</f>
        <v>0</v>
      </c>
      <c r="G32" s="49" t="n">
        <f aca="false">F32-E32</f>
        <v>0</v>
      </c>
      <c r="H32" s="102" t="e">
        <f aca="false">(F32/E32)*100</f>
        <v>#DIV/0!</v>
      </c>
    </row>
    <row r="33" customFormat="false" ht="38.25" hidden="false" customHeight="true" outlineLevel="0" collapsed="false">
      <c r="A33" s="29" t="s">
        <v>84</v>
      </c>
      <c r="B33" s="11" t="s">
        <v>284</v>
      </c>
      <c r="C33" s="49" t="s">
        <v>192</v>
      </c>
      <c r="D33" s="49" t="s">
        <v>192</v>
      </c>
      <c r="E33" s="49" t="s">
        <v>192</v>
      </c>
      <c r="F33" s="49" t="s">
        <v>192</v>
      </c>
      <c r="G33" s="49" t="e">
        <f aca="false">F33-E33</f>
        <v>#VALUE!</v>
      </c>
      <c r="H33" s="102" t="e">
        <f aca="false">(F33/E33)*100</f>
        <v>#VALUE!</v>
      </c>
    </row>
    <row r="34" customFormat="false" ht="55.5" hidden="false" customHeight="true" outlineLevel="0" collapsed="false">
      <c r="A34" s="29" t="s">
        <v>89</v>
      </c>
      <c r="B34" s="11" t="s">
        <v>285</v>
      </c>
      <c r="C34" s="49" t="s">
        <v>192</v>
      </c>
      <c r="D34" s="49" t="s">
        <v>192</v>
      </c>
      <c r="E34" s="49" t="s">
        <v>192</v>
      </c>
      <c r="F34" s="49" t="s">
        <v>192</v>
      </c>
      <c r="G34" s="49" t="e">
        <f aca="false">F34-E34</f>
        <v>#VALUE!</v>
      </c>
      <c r="H34" s="102" t="e">
        <f aca="false">(F34/E34)*100</f>
        <v>#VALUE!</v>
      </c>
    </row>
    <row r="35" customFormat="false" ht="18" hidden="false" customHeight="true" outlineLevel="0" collapsed="false">
      <c r="A35" s="29" t="s">
        <v>286</v>
      </c>
      <c r="B35" s="11" t="n">
        <v>3157</v>
      </c>
      <c r="C35" s="49" t="n">
        <f aca="false">-4239+-117+-4268-1045.2</f>
        <v>-9669.2</v>
      </c>
      <c r="D35" s="49" t="n">
        <f aca="false">-5543+-127+-10+-4078-292.2</f>
        <v>-10050.2</v>
      </c>
      <c r="E35" s="49" t="n">
        <f aca="false">-2354+-30+-1435-19.9</f>
        <v>-3838.9</v>
      </c>
      <c r="F35" s="49" t="n">
        <f aca="false">-1991+-59+-6+-1298-116.5</f>
        <v>-3470.5</v>
      </c>
      <c r="G35" s="49" t="n">
        <f aca="false">F35-E35</f>
        <v>368.4</v>
      </c>
      <c r="H35" s="102" t="n">
        <f aca="false">(F35/E35)*100</f>
        <v>90.4035010028914</v>
      </c>
    </row>
    <row r="36" customFormat="false" ht="18" hidden="false" customHeight="true" outlineLevel="0" collapsed="false">
      <c r="A36" s="29" t="s">
        <v>287</v>
      </c>
      <c r="B36" s="11" t="n">
        <v>3160</v>
      </c>
      <c r="C36" s="49" t="s">
        <v>192</v>
      </c>
      <c r="D36" s="49" t="n">
        <f aca="false">-94</f>
        <v>-94</v>
      </c>
      <c r="E36" s="49" t="s">
        <v>192</v>
      </c>
      <c r="F36" s="49" t="n">
        <f aca="false">-94</f>
        <v>-94</v>
      </c>
      <c r="G36" s="49" t="e">
        <f aca="false">F36-E36</f>
        <v>#VALUE!</v>
      </c>
      <c r="H36" s="102" t="e">
        <f aca="false">(F36/E36)*100</f>
        <v>#VALUE!</v>
      </c>
    </row>
    <row r="37" customFormat="false" ht="18" hidden="false" customHeight="true" outlineLevel="0" collapsed="false">
      <c r="A37" s="29" t="s">
        <v>288</v>
      </c>
      <c r="B37" s="11" t="n">
        <v>3170</v>
      </c>
      <c r="C37" s="49" t="n">
        <f aca="false">-977+-63+-199-143.4</f>
        <v>-1382.4</v>
      </c>
      <c r="D37" s="49" t="n">
        <f aca="false">-1344+-65+-125-96.3</f>
        <v>-1630.3</v>
      </c>
      <c r="E37" s="49" t="n">
        <f aca="false">-440+-29+-50-234.5</f>
        <v>-753.5</v>
      </c>
      <c r="F37" s="49" t="n">
        <f aca="false">-628+-23+-52-20.2</f>
        <v>-723.2</v>
      </c>
      <c r="G37" s="49" t="n">
        <f aca="false">F37-E37</f>
        <v>30.3</v>
      </c>
      <c r="H37" s="102" t="n">
        <f aca="false">(F37/E37)*100</f>
        <v>95.9787657597877</v>
      </c>
    </row>
    <row r="38" customFormat="false" ht="20.1" hidden="false" customHeight="true" outlineLevel="0" collapsed="false">
      <c r="A38" s="31" t="s">
        <v>95</v>
      </c>
      <c r="B38" s="36" t="n">
        <v>3195</v>
      </c>
      <c r="C38" s="28" t="n">
        <f aca="false">SUM(C7,C18)</f>
        <v>-20356.2</v>
      </c>
      <c r="D38" s="28" t="n">
        <f aca="false">SUM(D7,D18)</f>
        <v>-32500.6</v>
      </c>
      <c r="E38" s="28" t="n">
        <f aca="false">SUM(E7,E18)</f>
        <v>-6124.8</v>
      </c>
      <c r="F38" s="28" t="n">
        <f aca="false">SUM(F7,F18)</f>
        <v>-18194.4</v>
      </c>
      <c r="G38" s="33" t="n">
        <f aca="false">F38-E38</f>
        <v>-12069.6</v>
      </c>
      <c r="H38" s="100" t="n">
        <f aca="false">(F38/E38)*100</f>
        <v>297.061128526646</v>
      </c>
    </row>
    <row r="39" customFormat="false" ht="20.1" hidden="false" customHeight="true" outlineLevel="0" collapsed="false">
      <c r="A39" s="123" t="s">
        <v>289</v>
      </c>
      <c r="B39" s="124"/>
      <c r="C39" s="124"/>
      <c r="D39" s="129"/>
      <c r="E39" s="129"/>
      <c r="F39" s="129"/>
      <c r="G39" s="129"/>
      <c r="H39" s="129"/>
    </row>
    <row r="40" customFormat="false" ht="20.1" hidden="false" customHeight="true" outlineLevel="0" collapsed="false">
      <c r="A40" s="126" t="s">
        <v>290</v>
      </c>
      <c r="B40" s="127" t="n">
        <v>3200</v>
      </c>
      <c r="C40" s="28" t="n">
        <f aca="false">SUM(C41,C43:C47)</f>
        <v>1569</v>
      </c>
      <c r="D40" s="28" t="n">
        <f aca="false">SUM(D41,D43:D47)</f>
        <v>47502</v>
      </c>
      <c r="E40" s="28" t="n">
        <f aca="false">SUM(E41,E43:E47)</f>
        <v>4919</v>
      </c>
      <c r="F40" s="28" t="n">
        <f aca="false">SUM(F41,F43:F47)</f>
        <v>19432</v>
      </c>
      <c r="G40" s="33" t="n">
        <f aca="false">F40-E40</f>
        <v>14513</v>
      </c>
      <c r="H40" s="100" t="n">
        <f aca="false">(F40/E40)*100</f>
        <v>395.0396422037</v>
      </c>
    </row>
    <row r="41" customFormat="false" ht="18" hidden="false" customHeight="true" outlineLevel="0" collapsed="false">
      <c r="A41" s="29" t="s">
        <v>291</v>
      </c>
      <c r="B41" s="11" t="n">
        <v>3210</v>
      </c>
      <c r="C41" s="49"/>
      <c r="D41" s="49"/>
      <c r="E41" s="49"/>
      <c r="F41" s="49"/>
      <c r="G41" s="49" t="n">
        <f aca="false">F41-E41</f>
        <v>0</v>
      </c>
      <c r="H41" s="102" t="e">
        <f aca="false">(F41/E41)*100</f>
        <v>#DIV/0!</v>
      </c>
    </row>
    <row r="42" customFormat="false" ht="18" hidden="false" customHeight="true" outlineLevel="0" collapsed="false">
      <c r="A42" s="29" t="s">
        <v>292</v>
      </c>
      <c r="B42" s="11" t="n">
        <v>3215</v>
      </c>
      <c r="C42" s="49"/>
      <c r="D42" s="49"/>
      <c r="E42" s="49"/>
      <c r="F42" s="49"/>
      <c r="G42" s="49" t="n">
        <f aca="false">F42-E42</f>
        <v>0</v>
      </c>
      <c r="H42" s="102" t="e">
        <f aca="false">(F42/E42)*100</f>
        <v>#DIV/0!</v>
      </c>
    </row>
    <row r="43" customFormat="false" ht="18" hidden="false" customHeight="true" outlineLevel="0" collapsed="false">
      <c r="A43" s="29" t="s">
        <v>293</v>
      </c>
      <c r="B43" s="11" t="n">
        <v>3220</v>
      </c>
      <c r="C43" s="49"/>
      <c r="D43" s="49"/>
      <c r="E43" s="49"/>
      <c r="F43" s="49"/>
      <c r="G43" s="49" t="n">
        <f aca="false">F43-E43</f>
        <v>0</v>
      </c>
      <c r="H43" s="102" t="e">
        <f aca="false">(F43/E43)*100</f>
        <v>#DIV/0!</v>
      </c>
    </row>
    <row r="44" customFormat="false" ht="18" hidden="false" customHeight="true" outlineLevel="0" collapsed="false">
      <c r="A44" s="29" t="s">
        <v>294</v>
      </c>
      <c r="B44" s="11" t="n">
        <v>3225</v>
      </c>
      <c r="C44" s="49"/>
      <c r="D44" s="49"/>
      <c r="E44" s="49"/>
      <c r="F44" s="49"/>
      <c r="G44" s="49" t="n">
        <f aca="false">F44-E44</f>
        <v>0</v>
      </c>
      <c r="H44" s="102" t="e">
        <f aca="false">(F44/E44)*100</f>
        <v>#DIV/0!</v>
      </c>
    </row>
    <row r="45" customFormat="false" ht="18" hidden="false" customHeight="true" outlineLevel="0" collapsed="false">
      <c r="A45" s="29" t="s">
        <v>295</v>
      </c>
      <c r="B45" s="11" t="n">
        <v>3230</v>
      </c>
      <c r="C45" s="49"/>
      <c r="D45" s="49"/>
      <c r="E45" s="49"/>
      <c r="F45" s="49"/>
      <c r="G45" s="49" t="n">
        <f aca="false">F45-E45</f>
        <v>0</v>
      </c>
      <c r="H45" s="102" t="e">
        <f aca="false">(F45/E45)*100</f>
        <v>#DIV/0!</v>
      </c>
    </row>
    <row r="46" customFormat="false" ht="18" hidden="false" customHeight="true" outlineLevel="0" collapsed="false">
      <c r="A46" s="29" t="s">
        <v>296</v>
      </c>
      <c r="B46" s="11" t="n">
        <v>3235</v>
      </c>
      <c r="C46" s="49"/>
      <c r="D46" s="49"/>
      <c r="E46" s="49"/>
      <c r="F46" s="49"/>
      <c r="G46" s="49" t="n">
        <f aca="false">F46-E46</f>
        <v>0</v>
      </c>
      <c r="H46" s="102" t="e">
        <f aca="false">(F46/E46)*100</f>
        <v>#DIV/0!</v>
      </c>
    </row>
    <row r="47" customFormat="false" ht="18" hidden="false" customHeight="true" outlineLevel="0" collapsed="false">
      <c r="A47" s="29" t="s">
        <v>275</v>
      </c>
      <c r="B47" s="11" t="n">
        <v>3240</v>
      </c>
      <c r="C47" s="49" t="n">
        <f aca="false">1550+19</f>
        <v>1569</v>
      </c>
      <c r="D47" s="49" t="n">
        <f aca="false">47502</f>
        <v>47502</v>
      </c>
      <c r="E47" s="49" t="n">
        <f aca="false">4900+19</f>
        <v>4919</v>
      </c>
      <c r="F47" s="49" t="n">
        <f aca="false">19432</f>
        <v>19432</v>
      </c>
      <c r="G47" s="49" t="n">
        <f aca="false">F47-E47</f>
        <v>14513</v>
      </c>
      <c r="H47" s="102" t="n">
        <f aca="false">(F47/E47)*100</f>
        <v>395.0396422037</v>
      </c>
    </row>
    <row r="48" customFormat="false" ht="20.1" hidden="false" customHeight="true" outlineLevel="0" collapsed="false">
      <c r="A48" s="31" t="s">
        <v>297</v>
      </c>
      <c r="B48" s="36" t="n">
        <v>3255</v>
      </c>
      <c r="C48" s="28" t="n">
        <f aca="false">SUM(C49,C51,C55,C56)</f>
        <v>-3241</v>
      </c>
      <c r="D48" s="28" t="n">
        <f aca="false">SUM(D49,D51,D55,D56)</f>
        <v>-48630.6</v>
      </c>
      <c r="E48" s="28" t="n">
        <f aca="false">SUM(E49,E51,E55,E56)</f>
        <v>-4954</v>
      </c>
      <c r="F48" s="28" t="n">
        <f aca="false">SUM(F49,F51,F55,F56)</f>
        <v>-20262.9</v>
      </c>
      <c r="G48" s="33" t="n">
        <f aca="false">F48-E48</f>
        <v>-15308.9</v>
      </c>
      <c r="H48" s="100" t="n">
        <f aca="false">(F48/E48)*100</f>
        <v>409.020993136859</v>
      </c>
    </row>
    <row r="49" customFormat="false" ht="18" hidden="false" customHeight="true" outlineLevel="0" collapsed="false">
      <c r="A49" s="29" t="s">
        <v>298</v>
      </c>
      <c r="B49" s="11" t="n">
        <v>3260</v>
      </c>
      <c r="C49" s="49" t="s">
        <v>192</v>
      </c>
      <c r="D49" s="49" t="s">
        <v>192</v>
      </c>
      <c r="E49" s="49" t="s">
        <v>192</v>
      </c>
      <c r="F49" s="49" t="s">
        <v>192</v>
      </c>
      <c r="G49" s="49" t="e">
        <f aca="false">F49-E49</f>
        <v>#VALUE!</v>
      </c>
      <c r="H49" s="102" t="e">
        <f aca="false">(F49/E49)*100</f>
        <v>#VALUE!</v>
      </c>
    </row>
    <row r="50" customFormat="false" ht="18" hidden="false" customHeight="true" outlineLevel="0" collapsed="false">
      <c r="A50" s="29" t="s">
        <v>299</v>
      </c>
      <c r="B50" s="11" t="n">
        <v>3265</v>
      </c>
      <c r="C50" s="49" t="s">
        <v>192</v>
      </c>
      <c r="D50" s="49" t="s">
        <v>192</v>
      </c>
      <c r="E50" s="49" t="s">
        <v>192</v>
      </c>
      <c r="F50" s="49" t="s">
        <v>192</v>
      </c>
      <c r="G50" s="49" t="e">
        <f aca="false">F50-E50</f>
        <v>#VALUE!</v>
      </c>
      <c r="H50" s="102" t="e">
        <f aca="false">(F50/E50)*100</f>
        <v>#VALUE!</v>
      </c>
    </row>
    <row r="51" customFormat="false" ht="18" hidden="false" customHeight="true" outlineLevel="0" collapsed="false">
      <c r="A51" s="29" t="s">
        <v>300</v>
      </c>
      <c r="B51" s="11" t="n">
        <v>3270</v>
      </c>
      <c r="C51" s="49" t="n">
        <f aca="false">-607</f>
        <v>-607</v>
      </c>
      <c r="D51" s="49" t="n">
        <f aca="false">-44810-33.6</f>
        <v>-44843.6</v>
      </c>
      <c r="E51" s="49" t="n">
        <f aca="false">-4954</f>
        <v>-4954</v>
      </c>
      <c r="F51" s="49" t="n">
        <f aca="false">-18148-8.9</f>
        <v>-18156.9</v>
      </c>
      <c r="G51" s="49" t="n">
        <f aca="false">F51-E51</f>
        <v>-13202.9</v>
      </c>
      <c r="H51" s="102" t="n">
        <f aca="false">(F51/E51)*100</f>
        <v>366.509890997174</v>
      </c>
    </row>
    <row r="52" customFormat="false" ht="18" hidden="false" customHeight="true" outlineLevel="0" collapsed="false">
      <c r="A52" s="29" t="s">
        <v>301</v>
      </c>
      <c r="B52" s="11" t="s">
        <v>302</v>
      </c>
      <c r="C52" s="49" t="n">
        <f aca="false">-448</f>
        <v>-448</v>
      </c>
      <c r="D52" s="49" t="n">
        <f aca="false">-44540-33.6</f>
        <v>-44573.6</v>
      </c>
      <c r="E52" s="49" t="n">
        <f aca="false">-4954+-10+23</f>
        <v>-4941</v>
      </c>
      <c r="F52" s="49" t="n">
        <f aca="false">-17879-8.9</f>
        <v>-17887.9</v>
      </c>
      <c r="G52" s="49" t="n">
        <f aca="false">F52-E52</f>
        <v>-12946.9</v>
      </c>
      <c r="H52" s="102" t="n">
        <f aca="false">(F52/E52)*100</f>
        <v>362.029953450718</v>
      </c>
    </row>
    <row r="53" customFormat="false" ht="18" hidden="false" customHeight="true" outlineLevel="0" collapsed="false">
      <c r="A53" s="29" t="s">
        <v>303</v>
      </c>
      <c r="B53" s="11" t="s">
        <v>304</v>
      </c>
      <c r="C53" s="49" t="n">
        <f aca="false">-47</f>
        <v>-47</v>
      </c>
      <c r="D53" s="49" t="n">
        <f aca="false">-269</f>
        <v>-269</v>
      </c>
      <c r="E53" s="49" t="s">
        <v>192</v>
      </c>
      <c r="F53" s="49" t="n">
        <f aca="false">-269</f>
        <v>-269</v>
      </c>
      <c r="G53" s="49" t="e">
        <f aca="false">F53-E53</f>
        <v>#VALUE!</v>
      </c>
      <c r="H53" s="102" t="e">
        <f aca="false">(F53/E53)*100</f>
        <v>#VALUE!</v>
      </c>
    </row>
    <row r="54" customFormat="false" ht="18" hidden="false" customHeight="true" outlineLevel="0" collapsed="false">
      <c r="A54" s="29" t="s">
        <v>305</v>
      </c>
      <c r="B54" s="11" t="s">
        <v>306</v>
      </c>
      <c r="C54" s="49" t="n">
        <f aca="false">-113</f>
        <v>-113</v>
      </c>
      <c r="D54" s="49" t="s">
        <v>192</v>
      </c>
      <c r="E54" s="49" t="n">
        <f aca="false">-3</f>
        <v>-3</v>
      </c>
      <c r="F54" s="49" t="s">
        <v>192</v>
      </c>
      <c r="G54" s="49" t="e">
        <f aca="false">F54-E54</f>
        <v>#VALUE!</v>
      </c>
      <c r="H54" s="102" t="e">
        <f aca="false">(F54/E54)*100</f>
        <v>#VALUE!</v>
      </c>
    </row>
    <row r="55" customFormat="false" ht="18" hidden="false" customHeight="true" outlineLevel="0" collapsed="false">
      <c r="A55" s="29" t="s">
        <v>307</v>
      </c>
      <c r="B55" s="11" t="n">
        <v>3280</v>
      </c>
      <c r="C55" s="49" t="s">
        <v>192</v>
      </c>
      <c r="D55" s="49" t="s">
        <v>192</v>
      </c>
      <c r="E55" s="49" t="s">
        <v>192</v>
      </c>
      <c r="F55" s="49" t="s">
        <v>192</v>
      </c>
      <c r="G55" s="49" t="e">
        <f aca="false">F55-E55</f>
        <v>#VALUE!</v>
      </c>
      <c r="H55" s="102" t="e">
        <f aca="false">(F55/E55)*100</f>
        <v>#VALUE!</v>
      </c>
    </row>
    <row r="56" customFormat="false" ht="18" hidden="false" customHeight="true" outlineLevel="0" collapsed="false">
      <c r="A56" s="29" t="s">
        <v>286</v>
      </c>
      <c r="B56" s="11" t="n">
        <v>3290</v>
      </c>
      <c r="C56" s="49" t="n">
        <f aca="false">-2634</f>
        <v>-2634</v>
      </c>
      <c r="D56" s="49" t="n">
        <f aca="false">-3787</f>
        <v>-3787</v>
      </c>
      <c r="E56" s="49" t="s">
        <v>192</v>
      </c>
      <c r="F56" s="49" t="n">
        <f aca="false">-2106</f>
        <v>-2106</v>
      </c>
      <c r="G56" s="49" t="e">
        <f aca="false">F56-E56</f>
        <v>#VALUE!</v>
      </c>
      <c r="H56" s="102" t="e">
        <f aca="false">(F56/E56)*100</f>
        <v>#VALUE!</v>
      </c>
    </row>
    <row r="57" customFormat="false" ht="20.1" hidden="false" customHeight="true" outlineLevel="0" collapsed="false">
      <c r="A57" s="130" t="s">
        <v>96</v>
      </c>
      <c r="B57" s="131" t="n">
        <v>3295</v>
      </c>
      <c r="C57" s="132" t="n">
        <f aca="false">SUM(C40,C48)</f>
        <v>-1672</v>
      </c>
      <c r="D57" s="132" t="n">
        <f aca="false">SUM(D40,D48)</f>
        <v>-1128.6</v>
      </c>
      <c r="E57" s="132" t="n">
        <f aca="false">SUM(E40,E48)</f>
        <v>-35</v>
      </c>
      <c r="F57" s="132" t="n">
        <f aca="false">SUM(F40,F48)</f>
        <v>-830.900000000002</v>
      </c>
      <c r="G57" s="133" t="n">
        <f aca="false">F57-E57</f>
        <v>-795.900000000002</v>
      </c>
      <c r="H57" s="134" t="n">
        <f aca="false">(F57/E57)*100</f>
        <v>2374</v>
      </c>
    </row>
    <row r="58" customFormat="false" ht="20.1" hidden="false" customHeight="true" outlineLevel="0" collapsed="false">
      <c r="A58" s="123" t="s">
        <v>308</v>
      </c>
      <c r="B58" s="124"/>
      <c r="C58" s="124"/>
      <c r="D58" s="124"/>
      <c r="E58" s="124"/>
      <c r="F58" s="124"/>
      <c r="G58" s="135"/>
      <c r="H58" s="136"/>
    </row>
    <row r="59" customFormat="false" ht="20.1" hidden="false" customHeight="true" outlineLevel="0" collapsed="false">
      <c r="A59" s="126" t="s">
        <v>309</v>
      </c>
      <c r="B59" s="127" t="n">
        <v>3300</v>
      </c>
      <c r="C59" s="57" t="n">
        <f aca="false">SUM(C60,C61,C65)</f>
        <v>31</v>
      </c>
      <c r="D59" s="57" t="n">
        <f aca="false">SUM(D60,D61,D65)</f>
        <v>1394</v>
      </c>
      <c r="E59" s="57" t="n">
        <f aca="false">SUM(E60,E61,E65)</f>
        <v>0</v>
      </c>
      <c r="F59" s="57" t="n">
        <f aca="false">SUM(F60,F61,F65)</f>
        <v>1394</v>
      </c>
      <c r="G59" s="21" t="n">
        <f aca="false">F59-E59</f>
        <v>1394</v>
      </c>
      <c r="H59" s="137" t="e">
        <f aca="false">(F59/E59)*100</f>
        <v>#DIV/0!</v>
      </c>
    </row>
    <row r="60" customFormat="false" ht="18" hidden="false" customHeight="true" outlineLevel="0" collapsed="false">
      <c r="A60" s="29" t="s">
        <v>310</v>
      </c>
      <c r="B60" s="11" t="n">
        <v>3305</v>
      </c>
      <c r="C60" s="49"/>
      <c r="D60" s="49"/>
      <c r="E60" s="49"/>
      <c r="F60" s="49"/>
      <c r="G60" s="49" t="n">
        <f aca="false">F60-E60</f>
        <v>0</v>
      </c>
      <c r="H60" s="102" t="e">
        <f aca="false">(F60/E60)*100</f>
        <v>#DIV/0!</v>
      </c>
    </row>
    <row r="61" customFormat="false" ht="18" hidden="false" customHeight="true" outlineLevel="0" collapsed="false">
      <c r="A61" s="29" t="s">
        <v>311</v>
      </c>
      <c r="B61" s="11" t="n">
        <v>3310</v>
      </c>
      <c r="C61" s="78" t="n">
        <f aca="false">SUM(C62:C64)</f>
        <v>0</v>
      </c>
      <c r="D61" s="78" t="n">
        <f aca="false">SUM(D62:D64)</f>
        <v>0</v>
      </c>
      <c r="E61" s="78" t="n">
        <f aca="false">SUM(E62:E64)</f>
        <v>0</v>
      </c>
      <c r="F61" s="78" t="n">
        <f aca="false">SUM(F62:F64)</f>
        <v>0</v>
      </c>
      <c r="G61" s="49" t="n">
        <f aca="false">F61-E61</f>
        <v>0</v>
      </c>
      <c r="H61" s="102" t="e">
        <f aca="false">(F61/E61)*100</f>
        <v>#DIV/0!</v>
      </c>
    </row>
    <row r="62" customFormat="false" ht="18" hidden="false" customHeight="true" outlineLevel="0" collapsed="false">
      <c r="A62" s="29" t="s">
        <v>272</v>
      </c>
      <c r="B62" s="11" t="n">
        <v>3311</v>
      </c>
      <c r="C62" s="49"/>
      <c r="D62" s="49"/>
      <c r="E62" s="49"/>
      <c r="F62" s="49"/>
      <c r="G62" s="49" t="n">
        <f aca="false">F62-E62</f>
        <v>0</v>
      </c>
      <c r="H62" s="102" t="e">
        <f aca="false">(F62/E62)*100</f>
        <v>#DIV/0!</v>
      </c>
    </row>
    <row r="63" customFormat="false" ht="18" hidden="false" customHeight="true" outlineLevel="0" collapsed="false">
      <c r="A63" s="29" t="s">
        <v>273</v>
      </c>
      <c r="B63" s="11" t="n">
        <v>3312</v>
      </c>
      <c r="C63" s="49"/>
      <c r="D63" s="49"/>
      <c r="E63" s="49"/>
      <c r="F63" s="49"/>
      <c r="G63" s="49" t="n">
        <f aca="false">F63-E63</f>
        <v>0</v>
      </c>
      <c r="H63" s="102" t="e">
        <f aca="false">(F63/E63)*100</f>
        <v>#DIV/0!</v>
      </c>
    </row>
    <row r="64" customFormat="false" ht="18" hidden="false" customHeight="true" outlineLevel="0" collapsed="false">
      <c r="A64" s="29" t="s">
        <v>274</v>
      </c>
      <c r="B64" s="11" t="n">
        <v>3313</v>
      </c>
      <c r="C64" s="49"/>
      <c r="D64" s="49"/>
      <c r="E64" s="49"/>
      <c r="F64" s="49"/>
      <c r="G64" s="49" t="n">
        <f aca="false">F64-E64</f>
        <v>0</v>
      </c>
      <c r="H64" s="102" t="e">
        <f aca="false">(F64/E64)*100</f>
        <v>#DIV/0!</v>
      </c>
    </row>
    <row r="65" customFormat="false" ht="18" hidden="false" customHeight="true" outlineLevel="0" collapsed="false">
      <c r="A65" s="29" t="s">
        <v>275</v>
      </c>
      <c r="B65" s="11" t="n">
        <v>3320</v>
      </c>
      <c r="C65" s="49" t="n">
        <f aca="false">31</f>
        <v>31</v>
      </c>
      <c r="D65" s="49" t="n">
        <f aca="false">1394</f>
        <v>1394</v>
      </c>
      <c r="E65" s="49"/>
      <c r="F65" s="49" t="n">
        <v>1394</v>
      </c>
      <c r="G65" s="49" t="n">
        <f aca="false">F65-E65</f>
        <v>1394</v>
      </c>
      <c r="H65" s="102" t="e">
        <f aca="false">(F65/E65)*100</f>
        <v>#DIV/0!</v>
      </c>
    </row>
    <row r="66" customFormat="false" ht="20.1" hidden="false" customHeight="true" outlineLevel="0" collapsed="false">
      <c r="A66" s="31" t="s">
        <v>312</v>
      </c>
      <c r="B66" s="36" t="n">
        <v>3330</v>
      </c>
      <c r="C66" s="28" t="n">
        <f aca="false">SUM(C67,C68,C72:C75)</f>
        <v>0</v>
      </c>
      <c r="D66" s="28" t="n">
        <f aca="false">SUM(D67,D68,D72:D75)</f>
        <v>-1336</v>
      </c>
      <c r="E66" s="28" t="n">
        <f aca="false">SUM(E67,E68,E72:E75)</f>
        <v>0</v>
      </c>
      <c r="F66" s="28" t="n">
        <f aca="false">SUM(F67,F68,F72:F75)</f>
        <v>-1336</v>
      </c>
      <c r="G66" s="33" t="n">
        <f aca="false">F66-E66</f>
        <v>-1336</v>
      </c>
      <c r="H66" s="100" t="e">
        <f aca="false">(F66/E66)*100</f>
        <v>#DIV/0!</v>
      </c>
    </row>
    <row r="67" customFormat="false" ht="18" hidden="false" customHeight="true" outlineLevel="0" collapsed="false">
      <c r="A67" s="29" t="s">
        <v>313</v>
      </c>
      <c r="B67" s="11" t="n">
        <v>3335</v>
      </c>
      <c r="C67" s="49" t="s">
        <v>192</v>
      </c>
      <c r="D67" s="49" t="s">
        <v>192</v>
      </c>
      <c r="E67" s="49" t="s">
        <v>192</v>
      </c>
      <c r="F67" s="49" t="s">
        <v>192</v>
      </c>
      <c r="G67" s="49" t="e">
        <f aca="false">F67-E67</f>
        <v>#VALUE!</v>
      </c>
      <c r="H67" s="102" t="e">
        <f aca="false">(F67/E67)*100</f>
        <v>#VALUE!</v>
      </c>
    </row>
    <row r="68" customFormat="false" ht="18" hidden="false" customHeight="true" outlineLevel="0" collapsed="false">
      <c r="A68" s="29" t="s">
        <v>314</v>
      </c>
      <c r="B68" s="11" t="n">
        <v>3340</v>
      </c>
      <c r="C68" s="78" t="n">
        <f aca="false">SUM(C69:C71)</f>
        <v>0</v>
      </c>
      <c r="D68" s="78" t="n">
        <f aca="false">SUM(D69:D71)</f>
        <v>0</v>
      </c>
      <c r="E68" s="78" t="n">
        <f aca="false">SUM(E69:E71)</f>
        <v>0</v>
      </c>
      <c r="F68" s="78" t="n">
        <f aca="false">SUM(F69:F71)</f>
        <v>0</v>
      </c>
      <c r="G68" s="49" t="n">
        <f aca="false">F68-E68</f>
        <v>0</v>
      </c>
      <c r="H68" s="102" t="e">
        <f aca="false">(F68/E68)*100</f>
        <v>#DIV/0!</v>
      </c>
    </row>
    <row r="69" customFormat="false" ht="18" hidden="false" customHeight="true" outlineLevel="0" collapsed="false">
      <c r="A69" s="29" t="s">
        <v>272</v>
      </c>
      <c r="B69" s="11" t="n">
        <v>3341</v>
      </c>
      <c r="C69" s="49" t="s">
        <v>192</v>
      </c>
      <c r="D69" s="49" t="s">
        <v>192</v>
      </c>
      <c r="E69" s="49" t="s">
        <v>192</v>
      </c>
      <c r="F69" s="49" t="s">
        <v>192</v>
      </c>
      <c r="G69" s="49" t="e">
        <f aca="false">F69-E69</f>
        <v>#VALUE!</v>
      </c>
      <c r="H69" s="102" t="e">
        <f aca="false">(F69/E69)*100</f>
        <v>#VALUE!</v>
      </c>
    </row>
    <row r="70" customFormat="false" ht="18" hidden="false" customHeight="true" outlineLevel="0" collapsed="false">
      <c r="A70" s="29" t="s">
        <v>273</v>
      </c>
      <c r="B70" s="11" t="n">
        <v>3342</v>
      </c>
      <c r="C70" s="49" t="s">
        <v>192</v>
      </c>
      <c r="D70" s="49" t="s">
        <v>192</v>
      </c>
      <c r="E70" s="49" t="s">
        <v>192</v>
      </c>
      <c r="F70" s="49" t="s">
        <v>192</v>
      </c>
      <c r="G70" s="49" t="e">
        <f aca="false">F70-E70</f>
        <v>#VALUE!</v>
      </c>
      <c r="H70" s="102" t="e">
        <f aca="false">(F70/E70)*100</f>
        <v>#VALUE!</v>
      </c>
    </row>
    <row r="71" customFormat="false" ht="18" hidden="false" customHeight="true" outlineLevel="0" collapsed="false">
      <c r="A71" s="29" t="s">
        <v>274</v>
      </c>
      <c r="B71" s="11" t="n">
        <v>3343</v>
      </c>
      <c r="C71" s="49" t="s">
        <v>192</v>
      </c>
      <c r="D71" s="49" t="s">
        <v>192</v>
      </c>
      <c r="E71" s="49" t="s">
        <v>192</v>
      </c>
      <c r="F71" s="49" t="s">
        <v>192</v>
      </c>
      <c r="G71" s="49" t="e">
        <f aca="false">F71-E71</f>
        <v>#VALUE!</v>
      </c>
      <c r="H71" s="102" t="e">
        <f aca="false">(F71/E71)*100</f>
        <v>#VALUE!</v>
      </c>
    </row>
    <row r="72" customFormat="false" ht="18" hidden="false" customHeight="true" outlineLevel="0" collapsed="false">
      <c r="A72" s="29" t="s">
        <v>315</v>
      </c>
      <c r="B72" s="11" t="n">
        <v>3350</v>
      </c>
      <c r="C72" s="49" t="s">
        <v>192</v>
      </c>
      <c r="D72" s="49" t="s">
        <v>192</v>
      </c>
      <c r="E72" s="49" t="s">
        <v>192</v>
      </c>
      <c r="F72" s="49" t="s">
        <v>192</v>
      </c>
      <c r="G72" s="49" t="e">
        <f aca="false">F72-E72</f>
        <v>#VALUE!</v>
      </c>
      <c r="H72" s="102" t="e">
        <f aca="false">(F72/E72)*100</f>
        <v>#VALUE!</v>
      </c>
    </row>
    <row r="73" customFormat="false" ht="21.75" hidden="false" customHeight="true" outlineLevel="0" collapsed="false">
      <c r="A73" s="29" t="s">
        <v>316</v>
      </c>
      <c r="B73" s="11" t="n">
        <v>3360</v>
      </c>
      <c r="C73" s="49" t="s">
        <v>192</v>
      </c>
      <c r="D73" s="49" t="s">
        <v>192</v>
      </c>
      <c r="E73" s="49" t="s">
        <v>192</v>
      </c>
      <c r="F73" s="49" t="s">
        <v>192</v>
      </c>
      <c r="G73" s="49" t="e">
        <f aca="false">F73-E73</f>
        <v>#VALUE!</v>
      </c>
      <c r="H73" s="102" t="e">
        <f aca="false">(F73/E73)*100</f>
        <v>#VALUE!</v>
      </c>
    </row>
    <row r="74" customFormat="false" ht="23.25" hidden="false" customHeight="true" outlineLevel="0" collapsed="false">
      <c r="A74" s="29" t="s">
        <v>317</v>
      </c>
      <c r="B74" s="11" t="n">
        <v>3370</v>
      </c>
      <c r="C74" s="49" t="s">
        <v>192</v>
      </c>
      <c r="D74" s="49" t="s">
        <v>192</v>
      </c>
      <c r="E74" s="49" t="s">
        <v>192</v>
      </c>
      <c r="F74" s="49" t="s">
        <v>192</v>
      </c>
      <c r="G74" s="49" t="e">
        <f aca="false">F74-E74</f>
        <v>#VALUE!</v>
      </c>
      <c r="H74" s="102" t="e">
        <f aca="false">(F74/E74)*100</f>
        <v>#VALUE!</v>
      </c>
    </row>
    <row r="75" customFormat="false" ht="18" hidden="false" customHeight="true" outlineLevel="0" collapsed="false">
      <c r="A75" s="29" t="s">
        <v>286</v>
      </c>
      <c r="B75" s="11" t="n">
        <v>3380</v>
      </c>
      <c r="C75" s="49" t="s">
        <v>192</v>
      </c>
      <c r="D75" s="49" t="n">
        <f aca="false">-1336</f>
        <v>-1336</v>
      </c>
      <c r="E75" s="49" t="s">
        <v>192</v>
      </c>
      <c r="F75" s="49" t="n">
        <f aca="false">-1336</f>
        <v>-1336</v>
      </c>
      <c r="G75" s="49" t="e">
        <f aca="false">F75-E75</f>
        <v>#VALUE!</v>
      </c>
      <c r="H75" s="102" t="e">
        <f aca="false">(F75/E75)*100</f>
        <v>#VALUE!</v>
      </c>
    </row>
    <row r="76" customFormat="false" ht="20.1" hidden="false" customHeight="true" outlineLevel="0" collapsed="false">
      <c r="A76" s="31" t="s">
        <v>318</v>
      </c>
      <c r="B76" s="36" t="n">
        <v>3395</v>
      </c>
      <c r="C76" s="28" t="n">
        <f aca="false">SUM(C59,C66)</f>
        <v>31</v>
      </c>
      <c r="D76" s="28" t="n">
        <f aca="false">SUM(D59,D66)</f>
        <v>58</v>
      </c>
      <c r="E76" s="28" t="n">
        <f aca="false">SUM(E59,E66)</f>
        <v>0</v>
      </c>
      <c r="F76" s="28" t="n">
        <f aca="false">SUM(F59,F66)</f>
        <v>58</v>
      </c>
      <c r="G76" s="33" t="n">
        <f aca="false">F76-E76</f>
        <v>58</v>
      </c>
      <c r="H76" s="100" t="e">
        <f aca="false">(F76/E76)*100</f>
        <v>#DIV/0!</v>
      </c>
    </row>
    <row r="77" customFormat="false" ht="20.1" hidden="false" customHeight="true" outlineLevel="0" collapsed="false">
      <c r="A77" s="138" t="s">
        <v>319</v>
      </c>
      <c r="B77" s="36" t="n">
        <v>3400</v>
      </c>
      <c r="C77" s="28" t="n">
        <f aca="false">SUM(C38,C57,C76)</f>
        <v>-21997.2</v>
      </c>
      <c r="D77" s="28" t="n">
        <f aca="false">SUM(D38,D57,D76)</f>
        <v>-33571.2</v>
      </c>
      <c r="E77" s="28" t="n">
        <f aca="false">SUM(E38,E57,E76)</f>
        <v>-6159.8</v>
      </c>
      <c r="F77" s="28" t="n">
        <f aca="false">SUM(F38,F57,F76)</f>
        <v>-18967.3</v>
      </c>
      <c r="G77" s="33" t="n">
        <f aca="false">F77-E77</f>
        <v>-12807.5</v>
      </c>
      <c r="H77" s="100" t="n">
        <f aca="false">(F77/E77)*100</f>
        <v>307.920711711419</v>
      </c>
    </row>
    <row r="78" customFormat="false" ht="20.1" hidden="false" customHeight="true" outlineLevel="0" collapsed="false">
      <c r="A78" s="29" t="s">
        <v>93</v>
      </c>
      <c r="B78" s="11" t="n">
        <v>3405</v>
      </c>
      <c r="C78" s="49" t="n">
        <f aca="false">1243+1+385+650+331.9</f>
        <v>2610.9</v>
      </c>
      <c r="D78" s="49" t="n">
        <f aca="false">7742+3+330+349+289.8</f>
        <v>8713.8</v>
      </c>
      <c r="E78" s="49" t="n">
        <f aca="false">1368+1225+574.4</f>
        <v>3167.4</v>
      </c>
      <c r="F78" s="49" t="n">
        <f aca="false">7591+4+521+179+342.9</f>
        <v>8637.9</v>
      </c>
      <c r="G78" s="49" t="n">
        <f aca="false">F78-E78</f>
        <v>5470.5</v>
      </c>
      <c r="H78" s="102" t="n">
        <f aca="false">(F78/E78)*100</f>
        <v>272.712634968744</v>
      </c>
    </row>
    <row r="79" customFormat="false" ht="20.1" hidden="false" customHeight="true" outlineLevel="0" collapsed="false">
      <c r="A79" s="51" t="s">
        <v>98</v>
      </c>
      <c r="B79" s="11" t="n">
        <v>3410</v>
      </c>
      <c r="C79" s="49"/>
      <c r="D79" s="49"/>
      <c r="E79" s="49"/>
      <c r="F79" s="49"/>
      <c r="G79" s="49" t="n">
        <f aca="false">F79-E79</f>
        <v>0</v>
      </c>
      <c r="H79" s="102" t="e">
        <f aca="false">(F79/E79)*100</f>
        <v>#DIV/0!</v>
      </c>
    </row>
    <row r="80" customFormat="false" ht="20.1" hidden="false" customHeight="true" outlineLevel="0" collapsed="false">
      <c r="A80" s="29" t="s">
        <v>99</v>
      </c>
      <c r="B80" s="11" t="n">
        <v>3415</v>
      </c>
      <c r="C80" s="47" t="n">
        <f aca="false">SUM(C78,C77,C79)</f>
        <v>-19386.3</v>
      </c>
      <c r="D80" s="47" t="n">
        <f aca="false">SUM(D78,D77,D79)</f>
        <v>-24857.4</v>
      </c>
      <c r="E80" s="47" t="n">
        <f aca="false">SUM(E78,E77,E79)</f>
        <v>-2992.4</v>
      </c>
      <c r="F80" s="47" t="n">
        <f aca="false">SUM(F78,F77,F79)</f>
        <v>-10329.4</v>
      </c>
      <c r="G80" s="49" t="n">
        <f aca="false">F80-E80</f>
        <v>-7337.00000000002</v>
      </c>
      <c r="H80" s="102" t="n">
        <f aca="false">(F80/E80)*100</f>
        <v>345.187809116429</v>
      </c>
    </row>
    <row r="81" customFormat="false" ht="20.1" hidden="false" customHeight="true" outlineLevel="0" collapsed="false">
      <c r="A81" s="89"/>
      <c r="B81" s="2"/>
      <c r="C81" s="91"/>
      <c r="D81" s="91"/>
      <c r="E81" s="91"/>
      <c r="F81" s="91"/>
      <c r="G81" s="91"/>
      <c r="H81" s="139"/>
    </row>
    <row r="82" s="140" customFormat="true" ht="18.75" hidden="false" customHeight="false" outlineLevel="0" collapsed="false">
      <c r="A82" s="97"/>
      <c r="B82" s="9"/>
      <c r="C82" s="9"/>
      <c r="D82" s="9"/>
      <c r="E82" s="9"/>
      <c r="F82" s="9"/>
      <c r="G82" s="9"/>
      <c r="H82" s="9"/>
    </row>
    <row r="83" s="1" customFormat="true" ht="38.95" hidden="false" customHeight="true" outlineLevel="0" collapsed="false">
      <c r="A83" s="89" t="s">
        <v>178</v>
      </c>
      <c r="B83" s="2"/>
      <c r="C83" s="95" t="s">
        <v>259</v>
      </c>
      <c r="D83" s="95"/>
      <c r="E83" s="110"/>
      <c r="F83" s="141" t="s">
        <v>242</v>
      </c>
      <c r="G83" s="141"/>
      <c r="H83" s="141"/>
    </row>
    <row r="84" customFormat="false" ht="18.75" hidden="false" customHeight="true" outlineLevel="0" collapsed="false">
      <c r="A84" s="4"/>
      <c r="B84" s="1"/>
      <c r="C84" s="2" t="s">
        <v>181</v>
      </c>
      <c r="D84" s="2"/>
      <c r="E84" s="1"/>
      <c r="F84" s="2"/>
      <c r="G84" s="2"/>
      <c r="H84" s="2"/>
    </row>
  </sheetData>
  <mergeCells count="10">
    <mergeCell ref="A1:H1"/>
    <mergeCell ref="A3:A4"/>
    <mergeCell ref="B3:B4"/>
    <mergeCell ref="C3:D3"/>
    <mergeCell ref="E3:H3"/>
    <mergeCell ref="D39:H39"/>
    <mergeCell ref="C83:D83"/>
    <mergeCell ref="F83:H83"/>
    <mergeCell ref="C84:D84"/>
    <mergeCell ref="F84:H84"/>
  </mergeCells>
  <printOptions headings="false" gridLines="false" gridLinesSet="true" horizontalCentered="false" verticalCentered="false"/>
  <pageMargins left="1.18125" right="0.39375" top="0.786805555555556" bottom="0.7875" header="0.196527777777778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Roman,Обычный"&amp;14 9&amp;R&amp;"Times New Roman,Обычный"&amp;14Продовження додатка 3
Таблиця 3</oddHeader>
    <oddFooter/>
  </headerFooter>
  <rowBreaks count="2" manualBreakCount="2">
    <brk id="35" man="true" max="16383" min="0"/>
    <brk id="71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O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1" activeCellId="0" sqref="A1"/>
    </sheetView>
  </sheetViews>
  <sheetFormatPr defaultRowHeight="18.75"/>
  <cols>
    <col collapsed="false" hidden="false" max="1" min="1" style="1" width="82.1836734693878"/>
    <col collapsed="false" hidden="false" max="2" min="2" style="2" width="9.8265306122449"/>
    <col collapsed="false" hidden="false" max="7" min="3" style="2" width="25.6683673469388"/>
    <col collapsed="false" hidden="false" max="8" min="8" style="2" width="21.1020408163265"/>
    <col collapsed="false" hidden="false" max="9" min="9" style="1" width="9.54081632653061"/>
    <col collapsed="false" hidden="false" max="10" min="10" style="1" width="9.8265306122449"/>
    <col collapsed="false" hidden="false" max="257" min="11" style="1" width="9.11734693877551"/>
    <col collapsed="false" hidden="false" max="1025" min="258" style="0" width="9.11734693877551"/>
  </cols>
  <sheetData>
    <row r="1" customFormat="false" ht="18.75" hidden="false" customHeight="false" outlineLevel="0" collapsed="false">
      <c r="A1" s="9" t="s">
        <v>320</v>
      </c>
      <c r="B1" s="9"/>
      <c r="C1" s="9"/>
      <c r="D1" s="9"/>
      <c r="E1" s="9"/>
      <c r="F1" s="9"/>
      <c r="G1" s="9"/>
      <c r="H1" s="9"/>
    </row>
    <row r="2" s="1" customFormat="true" ht="18.75" hidden="false" customHeight="false" outlineLevel="0" collapsed="false"/>
    <row r="3" customFormat="false" ht="43.5" hidden="false" customHeight="true" outlineLevel="0" collapsed="false">
      <c r="A3" s="11" t="s">
        <v>9</v>
      </c>
      <c r="B3" s="12" t="s">
        <v>10</v>
      </c>
      <c r="C3" s="12" t="s">
        <v>11</v>
      </c>
      <c r="D3" s="12"/>
      <c r="E3" s="13" t="s">
        <v>12</v>
      </c>
      <c r="F3" s="13"/>
      <c r="G3" s="13"/>
      <c r="H3" s="13"/>
    </row>
    <row r="4" customFormat="false" ht="56.25" hidden="false" customHeight="true" outlineLevel="0" collapsed="false">
      <c r="A4" s="11"/>
      <c r="B4" s="12"/>
      <c r="C4" s="12" t="s">
        <v>13</v>
      </c>
      <c r="D4" s="12" t="s">
        <v>14</v>
      </c>
      <c r="E4" s="12" t="s">
        <v>15</v>
      </c>
      <c r="F4" s="12" t="s">
        <v>16</v>
      </c>
      <c r="G4" s="16" t="s">
        <v>17</v>
      </c>
      <c r="H4" s="16" t="s">
        <v>18</v>
      </c>
    </row>
    <row r="5" customFormat="false" ht="15.75" hidden="false" customHeight="true" outlineLevel="0" collapsed="false">
      <c r="A5" s="11" t="n">
        <v>1</v>
      </c>
      <c r="B5" s="12" t="n">
        <v>2</v>
      </c>
      <c r="C5" s="11" t="n">
        <v>3</v>
      </c>
      <c r="D5" s="12" t="n">
        <v>4</v>
      </c>
      <c r="E5" s="11" t="n">
        <v>5</v>
      </c>
      <c r="F5" s="12" t="n">
        <v>6</v>
      </c>
      <c r="G5" s="11" t="n">
        <v>7</v>
      </c>
      <c r="H5" s="12" t="n">
        <v>8</v>
      </c>
    </row>
    <row r="6" s="18" customFormat="true" ht="37.5" hidden="false" customHeight="false" outlineLevel="0" collapsed="false">
      <c r="A6" s="31" t="s">
        <v>321</v>
      </c>
      <c r="B6" s="142" t="n">
        <v>4000</v>
      </c>
      <c r="C6" s="28" t="n">
        <f aca="false">SUM(C7:C12)</f>
        <v>10619.8</v>
      </c>
      <c r="D6" s="28" t="n">
        <f aca="false">SUM(D7:D12)</f>
        <v>53371.8</v>
      </c>
      <c r="E6" s="28" t="n">
        <f aca="false">SUM(E7:E12)</f>
        <v>2939</v>
      </c>
      <c r="F6" s="28" t="n">
        <f aca="false">SUM(F7:F12)</f>
        <v>20122.9</v>
      </c>
      <c r="G6" s="33" t="n">
        <f aca="false">F6-E6</f>
        <v>17183.9</v>
      </c>
      <c r="H6" s="100" t="n">
        <f aca="false">(F6/E6)*100</f>
        <v>684.685267097652</v>
      </c>
    </row>
    <row r="7" customFormat="false" ht="20.1" hidden="false" customHeight="true" outlineLevel="0" collapsed="false">
      <c r="A7" s="29" t="s">
        <v>102</v>
      </c>
      <c r="B7" s="58" t="s">
        <v>103</v>
      </c>
      <c r="C7" s="143"/>
      <c r="D7" s="143"/>
      <c r="E7" s="143"/>
      <c r="F7" s="143"/>
      <c r="G7" s="143" t="n">
        <f aca="false">F7-E7</f>
        <v>0</v>
      </c>
      <c r="H7" s="102" t="e">
        <f aca="false">(F7/E7)*100</f>
        <v>#DIV/0!</v>
      </c>
    </row>
    <row r="8" customFormat="false" ht="20.1" hidden="false" customHeight="true" outlineLevel="0" collapsed="false">
      <c r="A8" s="29" t="s">
        <v>104</v>
      </c>
      <c r="B8" s="58" t="n">
        <v>4020</v>
      </c>
      <c r="C8" s="143" t="n">
        <f aca="false">4021+2+28+66.1</f>
        <v>4117.1</v>
      </c>
      <c r="D8" s="143" t="n">
        <f aca="false">52238+8+174.9</f>
        <v>52420.9</v>
      </c>
      <c r="E8" s="143" t="n">
        <f aca="false">1628+10+22</f>
        <v>1660</v>
      </c>
      <c r="F8" s="143" t="n">
        <f aca="false">19467+9.5</f>
        <v>19476.5</v>
      </c>
      <c r="G8" s="143" t="n">
        <f aca="false">F8-E8</f>
        <v>17816.5</v>
      </c>
      <c r="H8" s="102" t="n">
        <f aca="false">(F8/E8)*100</f>
        <v>1173.28313253012</v>
      </c>
      <c r="O8" s="3"/>
    </row>
    <row r="9" customFormat="false" ht="19.5" hidden="false" customHeight="true" outlineLevel="0" collapsed="false">
      <c r="A9" s="29" t="s">
        <v>105</v>
      </c>
      <c r="B9" s="58" t="n">
        <v>4030</v>
      </c>
      <c r="C9" s="143" t="n">
        <f aca="false">705+3+37+18.7</f>
        <v>763.7</v>
      </c>
      <c r="D9" s="143" t="n">
        <f aca="false">359+9+27+25.9</f>
        <v>420.9</v>
      </c>
      <c r="E9" s="143" t="n">
        <f aca="false">25+8+15</f>
        <v>48</v>
      </c>
      <c r="F9" s="143" t="n">
        <f aca="false">117+2+25+5.4</f>
        <v>149.4</v>
      </c>
      <c r="G9" s="143" t="n">
        <f aca="false">F9-E9</f>
        <v>101.4</v>
      </c>
      <c r="H9" s="102" t="n">
        <f aca="false">(F9/E9)*100</f>
        <v>311.25</v>
      </c>
      <c r="N9" s="3"/>
    </row>
    <row r="10" customFormat="false" ht="20.1" hidden="false" customHeight="true" outlineLevel="0" collapsed="false">
      <c r="A10" s="29" t="s">
        <v>106</v>
      </c>
      <c r="B10" s="58" t="n">
        <v>4040</v>
      </c>
      <c r="C10" s="143" t="n">
        <f aca="false">5</f>
        <v>5</v>
      </c>
      <c r="D10" s="143" t="n">
        <f aca="false">15+2</f>
        <v>17</v>
      </c>
      <c r="E10" s="143" t="n">
        <f aca="false">3</f>
        <v>3</v>
      </c>
      <c r="F10" s="143"/>
      <c r="G10" s="143" t="n">
        <f aca="false">F10-E10</f>
        <v>-3</v>
      </c>
      <c r="H10" s="102" t="n">
        <f aca="false">(F10/E10)*100</f>
        <v>0</v>
      </c>
    </row>
    <row r="11" customFormat="false" ht="34.3" hidden="false" customHeight="false" outlineLevel="0" collapsed="false">
      <c r="A11" s="29" t="s">
        <v>107</v>
      </c>
      <c r="B11" s="58" t="n">
        <v>4050</v>
      </c>
      <c r="C11" s="143" t="n">
        <f aca="false">4604+20+197</f>
        <v>4821</v>
      </c>
      <c r="D11" s="143" t="n">
        <f aca="false">5+11+66</f>
        <v>82</v>
      </c>
      <c r="E11" s="143" t="n">
        <f aca="false">1178+12</f>
        <v>1190</v>
      </c>
      <c r="F11" s="143" t="n">
        <f aca="false">66</f>
        <v>66</v>
      </c>
      <c r="G11" s="143" t="n">
        <f aca="false">F11-E11</f>
        <v>-1124</v>
      </c>
      <c r="H11" s="102" t="n">
        <f aca="false">(F11/E11)*100</f>
        <v>5.54621848739496</v>
      </c>
    </row>
    <row r="12" customFormat="false" ht="19.35" hidden="false" customHeight="false" outlineLevel="0" collapsed="false">
      <c r="A12" s="29" t="s">
        <v>108</v>
      </c>
      <c r="B12" s="58" t="n">
        <v>4060</v>
      </c>
      <c r="C12" s="143" t="n">
        <f aca="false">898+15</f>
        <v>913</v>
      </c>
      <c r="D12" s="143" t="n">
        <f aca="false">431</f>
        <v>431</v>
      </c>
      <c r="E12" s="143" t="n">
        <f aca="false">38</f>
        <v>38</v>
      </c>
      <c r="F12" s="143" t="n">
        <f aca="false">431</f>
        <v>431</v>
      </c>
      <c r="G12" s="143" t="n">
        <f aca="false">F12-E12</f>
        <v>393</v>
      </c>
      <c r="H12" s="102" t="n">
        <f aca="false">(F12/E12)*100</f>
        <v>1134.21052631579</v>
      </c>
    </row>
    <row r="13" s="1" customFormat="true" ht="18.75" hidden="false" customHeight="false" outlineLevel="0" collapsed="false"/>
    <row r="14" s="1" customFormat="true" ht="18.75" hidden="false" customHeight="false" outlineLevel="0" collapsed="false"/>
    <row r="15" s="97" customFormat="true" ht="19.5" hidden="false" customHeight="true" outlineLevel="0" collapsed="false">
      <c r="A15" s="8"/>
      <c r="I15" s="1"/>
    </row>
    <row r="16" customFormat="false" ht="49.6" hidden="false" customHeight="true" outlineLevel="0" collapsed="false">
      <c r="A16" s="89" t="s">
        <v>322</v>
      </c>
      <c r="C16" s="95" t="s">
        <v>259</v>
      </c>
      <c r="D16" s="95"/>
      <c r="E16" s="110"/>
      <c r="F16" s="2" t="s">
        <v>242</v>
      </c>
    </row>
    <row r="17" s="97" customFormat="true" ht="18.75" hidden="false" customHeight="true" outlineLevel="0" collapsed="false">
      <c r="A17" s="2"/>
      <c r="B17" s="1"/>
      <c r="C17" s="2" t="s">
        <v>181</v>
      </c>
      <c r="D17" s="2"/>
      <c r="E17" s="1"/>
      <c r="F17" s="2"/>
      <c r="G17" s="2"/>
      <c r="H17" s="2"/>
    </row>
  </sheetData>
  <mergeCells count="10">
    <mergeCell ref="A1:H1"/>
    <mergeCell ref="A2:H2"/>
    <mergeCell ref="A3:A4"/>
    <mergeCell ref="B3:B4"/>
    <mergeCell ref="C3:D3"/>
    <mergeCell ref="E3:H3"/>
    <mergeCell ref="C16:D16"/>
    <mergeCell ref="F16:H16"/>
    <mergeCell ref="C17:D17"/>
    <mergeCell ref="F17:H17"/>
  </mergeCells>
  <printOptions headings="false" gridLines="false" gridLinesSet="true" horizontalCentered="false" verticalCentered="false"/>
  <pageMargins left="1.18125" right="0.39375" top="0.7875" bottom="0.7875" header="0.275694444444444" footer="0.511805555555555"/>
  <pageSetup paperSize="9" scale="54" firstPageNumber="9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Roman,Обычный"&amp;14 11&amp;R&amp;"Times New Roman,Обычный"&amp;14Продовження додатка 3
Таблиця 4  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K28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52" workbookViewId="0">
      <pane xSplit="1" ySplit="5" topLeftCell="B6" activePane="bottomRight" state="frozen"/>
      <selection pane="topLeft" activeCell="A1" activeCellId="0" sqref="A1"/>
      <selection pane="topRight" activeCell="B1" activeCellId="0" sqref="B1"/>
      <selection pane="bottomLeft" activeCell="A6" activeCellId="0" sqref="A6"/>
      <selection pane="bottomRight" activeCell="G11" activeCellId="0" sqref="G11"/>
    </sheetView>
  </sheetViews>
  <sheetFormatPr defaultRowHeight="12.75"/>
  <cols>
    <col collapsed="false" hidden="false" max="1" min="1" style="144" width="94.8826530612245"/>
    <col collapsed="false" hidden="false" max="2" min="2" style="144" width="19.3826530612245"/>
    <col collapsed="false" hidden="false" max="7" min="3" style="144" width="25.9540816326531"/>
    <col collapsed="false" hidden="false" max="8" min="8" style="144" width="68.8571428571429"/>
    <col collapsed="false" hidden="false" max="9" min="9" style="144" width="9.54081632653061"/>
    <col collapsed="false" hidden="false" max="10" min="10" style="144" width="9.11734693877551"/>
    <col collapsed="false" hidden="false" max="11" min="11" style="144" width="27.0969387755102"/>
    <col collapsed="false" hidden="false" max="257" min="12" style="144" width="9.11734693877551"/>
    <col collapsed="false" hidden="false" max="1025" min="258" style="0" width="9.11734693877551"/>
  </cols>
  <sheetData>
    <row r="1" customFormat="false" ht="19.5" hidden="false" customHeight="true" outlineLevel="0" collapsed="false">
      <c r="A1" s="145" t="s">
        <v>118</v>
      </c>
      <c r="B1" s="145"/>
      <c r="C1" s="145"/>
      <c r="D1" s="145"/>
      <c r="E1" s="145"/>
      <c r="F1" s="145"/>
      <c r="G1" s="145"/>
      <c r="H1" s="145"/>
    </row>
    <row r="2" customFormat="false" ht="16.5" hidden="false" customHeight="true" outlineLevel="0" collapsed="false"/>
    <row r="3" customFormat="false" ht="49.5" hidden="false" customHeight="true" outlineLevel="0" collapsed="false">
      <c r="A3" s="146" t="s">
        <v>9</v>
      </c>
      <c r="B3" s="146" t="s">
        <v>262</v>
      </c>
      <c r="C3" s="146" t="s">
        <v>323</v>
      </c>
      <c r="D3" s="12" t="s">
        <v>11</v>
      </c>
      <c r="E3" s="12"/>
      <c r="F3" s="12" t="s">
        <v>12</v>
      </c>
      <c r="G3" s="12"/>
      <c r="H3" s="146" t="s">
        <v>324</v>
      </c>
    </row>
    <row r="4" customFormat="false" ht="63" hidden="false" customHeight="true" outlineLevel="0" collapsed="false">
      <c r="A4" s="146"/>
      <c r="B4" s="146"/>
      <c r="C4" s="146"/>
      <c r="D4" s="12" t="s">
        <v>13</v>
      </c>
      <c r="E4" s="12" t="s">
        <v>14</v>
      </c>
      <c r="F4" s="12" t="s">
        <v>13</v>
      </c>
      <c r="G4" s="12" t="s">
        <v>14</v>
      </c>
      <c r="H4" s="146"/>
    </row>
    <row r="5" s="148" customFormat="true" ht="18.75" hidden="false" customHeight="false" outlineLevel="0" collapsed="false">
      <c r="A5" s="147" t="n">
        <v>1</v>
      </c>
      <c r="B5" s="147" t="n">
        <v>2</v>
      </c>
      <c r="C5" s="147" t="n">
        <v>3</v>
      </c>
      <c r="D5" s="147" t="n">
        <v>4</v>
      </c>
      <c r="E5" s="147" t="n">
        <v>5</v>
      </c>
      <c r="F5" s="147" t="n">
        <v>6</v>
      </c>
      <c r="G5" s="147" t="n">
        <v>7</v>
      </c>
      <c r="H5" s="147" t="n">
        <v>8</v>
      </c>
    </row>
    <row r="6" s="148" customFormat="true" ht="24.95" hidden="false" customHeight="true" outlineLevel="0" collapsed="false">
      <c r="A6" s="149" t="s">
        <v>325</v>
      </c>
      <c r="B6" s="149"/>
      <c r="C6" s="147"/>
      <c r="D6" s="147"/>
      <c r="E6" s="147"/>
      <c r="F6" s="147"/>
      <c r="G6" s="147"/>
      <c r="H6" s="147"/>
    </row>
    <row r="7" customFormat="false" ht="49.95" hidden="false" customHeight="false" outlineLevel="0" collapsed="false">
      <c r="A7" s="29" t="s">
        <v>326</v>
      </c>
      <c r="B7" s="12" t="n">
        <v>5000</v>
      </c>
      <c r="C7" s="146" t="s">
        <v>327</v>
      </c>
      <c r="D7" s="150" t="n">
        <f aca="false">('I. Фін результат'!C17/'I. Фін результат'!C7)*100</f>
        <v>-32.1256582856706</v>
      </c>
      <c r="E7" s="150" t="n">
        <f aca="false">('I. Фін результат'!D17/'I. Фін результат'!D7)*100</f>
        <v>-37.8315819680788</v>
      </c>
      <c r="F7" s="150" t="n">
        <f aca="false">-904.5+41.2+52.7+-452</f>
        <v>-1262.6</v>
      </c>
      <c r="G7" s="150" t="n">
        <f aca="false">-12407.3+48.1+50.8+-546.5</f>
        <v>-12854.9</v>
      </c>
      <c r="H7" s="151"/>
    </row>
    <row r="8" customFormat="false" ht="49.95" hidden="false" customHeight="false" outlineLevel="0" collapsed="false">
      <c r="A8" s="29" t="s">
        <v>328</v>
      </c>
      <c r="B8" s="12" t="n">
        <v>5010</v>
      </c>
      <c r="C8" s="146" t="s">
        <v>327</v>
      </c>
      <c r="D8" s="150" t="e">
        <f aca="false">('I. Фін результат'!C89/'I. Фін результат'!C7)*100</f>
        <v>#VALUE!</v>
      </c>
      <c r="E8" s="150" t="e">
        <f aca="false">('I. Фін результат'!D89/'I. Фін результат'!D7)*100</f>
        <v>#VALUE!</v>
      </c>
      <c r="F8" s="150" t="n">
        <f aca="false">149.5+19.2+-86</f>
        <v>82.7</v>
      </c>
      <c r="G8" s="150" t="n">
        <f aca="false">407.1+-1.9+18.1+-9</f>
        <v>414.3</v>
      </c>
      <c r="H8" s="151"/>
    </row>
    <row r="9" customFormat="false" ht="42.75" hidden="false" customHeight="true" outlineLevel="0" collapsed="false">
      <c r="A9" s="152" t="s">
        <v>329</v>
      </c>
      <c r="B9" s="12" t="n">
        <v>5020</v>
      </c>
      <c r="C9" s="146" t="s">
        <v>327</v>
      </c>
      <c r="D9" s="150" t="n">
        <f aca="false">('Осн. фін. пок.'!C53/'Осн. фін. пок.'!C130)*100</f>
        <v>0.0685383051143449</v>
      </c>
      <c r="E9" s="150" t="n">
        <f aca="false">('Осн. фін. пок.'!D53/'Осн. фін. пок.'!D130)*100</f>
        <v>-0.304697828582736</v>
      </c>
      <c r="F9" s="150" t="n">
        <f aca="false">-3.5</f>
        <v>-3.5</v>
      </c>
      <c r="G9" s="150" t="n">
        <f aca="false">-20.5</f>
        <v>-20.5</v>
      </c>
      <c r="H9" s="151" t="s">
        <v>330</v>
      </c>
    </row>
    <row r="10" customFormat="false" ht="42.75" hidden="false" customHeight="true" outlineLevel="0" collapsed="false">
      <c r="A10" s="152" t="s">
        <v>331</v>
      </c>
      <c r="B10" s="12" t="n">
        <v>5030</v>
      </c>
      <c r="C10" s="146" t="s">
        <v>327</v>
      </c>
      <c r="D10" s="150" t="n">
        <f aca="false">('Осн. фін. пок.'!C53/'Осн. фін. пок.'!C136)*100</f>
        <v>0.0690514126474926</v>
      </c>
      <c r="E10" s="150" t="n">
        <f aca="false">('Осн. фін. пок.'!D53/'Осн. фін. пок.'!D136)*100</f>
        <v>-0.307450373417185</v>
      </c>
      <c r="F10" s="150" t="n">
        <f aca="false">-4.6</f>
        <v>-4.6</v>
      </c>
      <c r="G10" s="150" t="n">
        <f aca="false">-24.2</f>
        <v>-24.2</v>
      </c>
      <c r="H10" s="151"/>
    </row>
    <row r="11" customFormat="false" ht="49.95" hidden="false" customHeight="false" outlineLevel="0" collapsed="false">
      <c r="A11" s="152" t="s">
        <v>332</v>
      </c>
      <c r="B11" s="12" t="n">
        <v>5040</v>
      </c>
      <c r="C11" s="146" t="s">
        <v>327</v>
      </c>
      <c r="D11" s="150" t="n">
        <f aca="false">('Осн. фін. пок.'!C53/'Осн. фін. пок.'!C21)*100</f>
        <v>2.68887544978186</v>
      </c>
      <c r="E11" s="150" t="n">
        <f aca="false">('Осн. фін. пок.'!D53/'Осн. фін. пок.'!D21)*100</f>
        <v>-8.8987821817102</v>
      </c>
      <c r="F11" s="150" t="n">
        <f aca="false">-57.6+10+17.7+-110</f>
        <v>-139.9</v>
      </c>
      <c r="G11" s="150" t="n">
        <f aca="false">-293+-7.3+16.8+-25.1</f>
        <v>-308.6</v>
      </c>
      <c r="H11" s="151" t="s">
        <v>333</v>
      </c>
    </row>
    <row r="12" customFormat="false" ht="24.95" hidden="false" customHeight="true" outlineLevel="0" collapsed="false">
      <c r="A12" s="149" t="s">
        <v>334</v>
      </c>
      <c r="B12" s="12"/>
      <c r="C12" s="153"/>
      <c r="D12" s="154"/>
      <c r="E12" s="154"/>
      <c r="F12" s="154"/>
      <c r="G12" s="154"/>
      <c r="H12" s="151"/>
    </row>
    <row r="13" customFormat="false" ht="49.95" hidden="false" customHeight="false" outlineLevel="0" collapsed="false">
      <c r="A13" s="151" t="s">
        <v>335</v>
      </c>
      <c r="B13" s="12" t="n">
        <v>5100</v>
      </c>
      <c r="C13" s="146"/>
      <c r="D13" s="150" t="e">
        <f aca="false">('Осн. фін. пок.'!C131+'Осн. фін. пок.'!C132)/'Осн. фін. пок.'!C38</f>
        <v>#VALUE!</v>
      </c>
      <c r="E13" s="150" t="e">
        <f aca="false">('Осн. фін. пок.'!D131+'Осн. фін. пок.'!D132)/'Осн. фін. пок.'!D38</f>
        <v>#VALUE!</v>
      </c>
      <c r="F13" s="150" t="n">
        <f aca="false">-2.7</f>
        <v>-2.7</v>
      </c>
      <c r="G13" s="150" t="n">
        <f aca="false">-29.7</f>
        <v>-29.7</v>
      </c>
      <c r="H13" s="151"/>
    </row>
    <row r="14" s="148" customFormat="true" ht="49.95" hidden="false" customHeight="false" outlineLevel="0" collapsed="false">
      <c r="A14" s="151" t="s">
        <v>336</v>
      </c>
      <c r="B14" s="12" t="n">
        <v>5110</v>
      </c>
      <c r="C14" s="146" t="s">
        <v>337</v>
      </c>
      <c r="D14" s="150" t="n">
        <f aca="false">'Осн. фін. пок.'!C136/('Осн. фін. пок.'!C131+'Осн. фін. пок.'!C132)</f>
        <v>133.599086881837</v>
      </c>
      <c r="E14" s="150" t="n">
        <f aca="false">'Осн. фін. пок.'!D136/('Осн. фін. пок.'!D131+'Осн. фін. пок.'!D132)</f>
        <v>110.810788128481</v>
      </c>
      <c r="F14" s="150" t="n">
        <f aca="false">25</f>
        <v>25</v>
      </c>
      <c r="G14" s="150" t="n">
        <f aca="false">396.6</f>
        <v>396.6</v>
      </c>
      <c r="H14" s="151" t="s">
        <v>338</v>
      </c>
    </row>
    <row r="15" s="148" customFormat="true" ht="49.95" hidden="false" customHeight="false" outlineLevel="0" collapsed="false">
      <c r="A15" s="151" t="s">
        <v>339</v>
      </c>
      <c r="B15" s="12" t="n">
        <v>5120</v>
      </c>
      <c r="C15" s="146" t="s">
        <v>337</v>
      </c>
      <c r="D15" s="150" t="n">
        <f aca="false">'Осн. фін. пок.'!C128/'Осн. фін. пок.'!C132</f>
        <v>1.36753037005828</v>
      </c>
      <c r="E15" s="150" t="n">
        <f aca="false">'Осн. фін. пок.'!D128/'Осн. фін. пок.'!D132</f>
        <v>1.62835415106978</v>
      </c>
      <c r="F15" s="150" t="n">
        <f aca="false">7.7</f>
        <v>7.7</v>
      </c>
      <c r="G15" s="150" t="n">
        <f aca="false">19.7</f>
        <v>19.7</v>
      </c>
      <c r="H15" s="151" t="s">
        <v>340</v>
      </c>
    </row>
    <row r="16" customFormat="false" ht="24.95" hidden="false" customHeight="true" outlineLevel="0" collapsed="false">
      <c r="A16" s="149" t="s">
        <v>341</v>
      </c>
      <c r="B16" s="12"/>
      <c r="C16" s="146"/>
      <c r="D16" s="154"/>
      <c r="E16" s="154"/>
      <c r="F16" s="154"/>
      <c r="G16" s="154"/>
      <c r="H16" s="151"/>
    </row>
    <row r="17" customFormat="false" ht="42.75" hidden="false" customHeight="true" outlineLevel="0" collapsed="false">
      <c r="A17" s="151" t="s">
        <v>342</v>
      </c>
      <c r="B17" s="12" t="n">
        <v>5200</v>
      </c>
      <c r="C17" s="146"/>
      <c r="D17" s="150" t="n">
        <f aca="false">'Осн. фін. пок.'!C105/'Осн. фін. пок.'!C65</f>
        <v>0.942474263400781</v>
      </c>
      <c r="E17" s="150" t="n">
        <f aca="false">'Осн. фін. пок.'!D105/'Осн. фін. пок.'!D65</f>
        <v>2.44159492026314</v>
      </c>
      <c r="F17" s="150" t="n">
        <f aca="false">25.2+3.2</f>
        <v>28.4</v>
      </c>
      <c r="G17" s="150" t="n">
        <f aca="false">83.5+1+1.8</f>
        <v>86.3</v>
      </c>
      <c r="H17" s="151"/>
    </row>
    <row r="18" customFormat="false" ht="65.65" hidden="false" customHeight="false" outlineLevel="0" collapsed="false">
      <c r="A18" s="151" t="s">
        <v>343</v>
      </c>
      <c r="B18" s="12" t="n">
        <v>5210</v>
      </c>
      <c r="C18" s="146"/>
      <c r="D18" s="150" t="n">
        <f aca="false">'Осн. фін. пок.'!C105/'Осн. фін. пок.'!C21</f>
        <v>0.069961092467644</v>
      </c>
      <c r="E18" s="150" t="n">
        <f aca="false">'Осн. фін. пок.'!D105/'Осн. фін. пок.'!D21</f>
        <v>0.265902283583666</v>
      </c>
      <c r="F18" s="150" t="n">
        <f aca="false">0.2</f>
        <v>0.2</v>
      </c>
      <c r="G18" s="150" t="n">
        <f aca="false">4.5</f>
        <v>4.5</v>
      </c>
      <c r="H18" s="151"/>
    </row>
    <row r="19" customFormat="false" ht="34.3" hidden="false" customHeight="false" outlineLevel="0" collapsed="false">
      <c r="A19" s="151" t="s">
        <v>344</v>
      </c>
      <c r="B19" s="12" t="n">
        <v>5220</v>
      </c>
      <c r="C19" s="146" t="s">
        <v>345</v>
      </c>
      <c r="D19" s="150" t="n">
        <f aca="false">'Осн. фін. пок.'!C127/'Осн. фін. пок.'!C126</f>
        <v>0.549666237466612</v>
      </c>
      <c r="E19" s="150" t="n">
        <f aca="false">'Осн. фін. пок.'!D127/'Осн. фін. пок.'!D126</f>
        <v>0.541513779240935</v>
      </c>
      <c r="F19" s="150" t="n">
        <f aca="false">1.9</f>
        <v>1.9</v>
      </c>
      <c r="G19" s="150" t="n">
        <f aca="false">2.4</f>
        <v>2.4</v>
      </c>
      <c r="H19" s="151" t="s">
        <v>346</v>
      </c>
    </row>
    <row r="20" customFormat="false" ht="24.95" hidden="false" customHeight="true" outlineLevel="0" collapsed="false">
      <c r="A20" s="149" t="s">
        <v>347</v>
      </c>
      <c r="B20" s="12"/>
      <c r="C20" s="146"/>
      <c r="D20" s="154"/>
      <c r="E20" s="154"/>
      <c r="F20" s="154"/>
      <c r="G20" s="154"/>
      <c r="H20" s="151"/>
    </row>
    <row r="21" customFormat="false" ht="75" hidden="false" customHeight="false" outlineLevel="0" collapsed="false">
      <c r="A21" s="152" t="s">
        <v>348</v>
      </c>
      <c r="B21" s="12" t="n">
        <v>5300</v>
      </c>
      <c r="C21" s="146"/>
      <c r="D21" s="154"/>
      <c r="E21" s="154"/>
      <c r="F21" s="154"/>
      <c r="G21" s="154"/>
      <c r="H21" s="155"/>
    </row>
    <row r="26" customFormat="false" ht="20.25" hidden="false" customHeight="false" outlineLevel="0" collapsed="false">
      <c r="K26" s="156"/>
    </row>
    <row r="27" s="1" customFormat="true" ht="38.05" hidden="false" customHeight="true" outlineLevel="0" collapsed="false">
      <c r="A27" s="89" t="s">
        <v>322</v>
      </c>
      <c r="B27" s="2"/>
      <c r="C27" s="95" t="s">
        <v>259</v>
      </c>
      <c r="D27" s="95"/>
      <c r="E27" s="110"/>
      <c r="F27" s="2" t="s">
        <v>242</v>
      </c>
      <c r="G27" s="2"/>
      <c r="H27" s="2"/>
    </row>
    <row r="28" s="97" customFormat="true" ht="19.35" hidden="false" customHeight="true" outlineLevel="0" collapsed="false">
      <c r="A28" s="4"/>
      <c r="B28" s="1"/>
      <c r="C28" s="2" t="s">
        <v>181</v>
      </c>
      <c r="D28" s="2"/>
      <c r="E28" s="1"/>
      <c r="F28" s="2"/>
      <c r="G28" s="2"/>
      <c r="H28" s="2"/>
    </row>
  </sheetData>
  <mergeCells count="11">
    <mergeCell ref="A1:H1"/>
    <mergeCell ref="A3:A4"/>
    <mergeCell ref="B3:B4"/>
    <mergeCell ref="C3:C4"/>
    <mergeCell ref="D3:E3"/>
    <mergeCell ref="F3:G3"/>
    <mergeCell ref="H3:H4"/>
    <mergeCell ref="C27:D27"/>
    <mergeCell ref="F27:H27"/>
    <mergeCell ref="C28:D28"/>
    <mergeCell ref="F28:H28"/>
  </mergeCells>
  <printOptions headings="false" gridLines="false" gridLinesSet="true" horizontalCentered="false" verticalCentered="false"/>
  <pageMargins left="0.7875" right="0.39375" top="0.7875" bottom="0.7875" header="0.511805555555555" footer="0.511805555555555"/>
  <pageSetup paperSize="9" scale="4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Roman,Обычный"&amp;18 &amp;14 12&amp;R&amp;"Times New Roman,Обычный"&amp;14Продовження додатка 3
Таблиця  5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O84"/>
  <sheetViews>
    <sheetView windowProtection="false" showFormulas="false" showGridLines="true" showRowColHeaders="true" showZeros="true" rightToLeft="false" tabSelected="false" showOutlineSymbols="true" defaultGridColor="true" view="normal" topLeftCell="A34" colorId="64" zoomScale="75" zoomScaleNormal="75" zoomScalePageLayoutView="100" workbookViewId="0">
      <selection pane="topLeft" activeCell="I35" activeCellId="0" sqref="I35"/>
    </sheetView>
  </sheetViews>
  <sheetFormatPr defaultRowHeight="18.75"/>
  <cols>
    <col collapsed="false" hidden="false" max="1" min="1" style="97" width="49.4948979591837"/>
    <col collapsed="false" hidden="false" max="2" min="2" style="157" width="13.5357142857143"/>
    <col collapsed="false" hidden="false" max="3" min="3" style="97" width="18.530612244898"/>
    <col collapsed="false" hidden="false" max="4" min="4" style="97" width="16.1071428571429"/>
    <col collapsed="false" hidden="false" max="5" min="5" style="97" width="15.3877551020408"/>
    <col collapsed="false" hidden="false" max="6" min="6" style="97" width="16.530612244898"/>
    <col collapsed="false" hidden="false" max="7" min="7" style="97" width="15.2551020408163"/>
    <col collapsed="false" hidden="false" max="8" min="8" style="97" width="16.530612244898"/>
    <col collapsed="false" hidden="false" max="9" min="9" style="97" width="16.1071428571429"/>
    <col collapsed="false" hidden="false" max="10" min="10" style="97" width="16.3877551020408"/>
    <col collapsed="false" hidden="false" max="11" min="11" style="97" width="16.530612244898"/>
    <col collapsed="false" hidden="false" max="12" min="12" style="97" width="16.8214285714286"/>
    <col collapsed="false" hidden="false" max="15" min="13" style="97" width="16.6734693877551"/>
    <col collapsed="false" hidden="false" max="257" min="16" style="97" width="9.11734693877551"/>
    <col collapsed="false" hidden="false" max="1025" min="258" style="0" width="9.11734693877551"/>
  </cols>
  <sheetData>
    <row r="1" customFormat="false" ht="18.75" hidden="false" customHeight="false" outlineLevel="0" collapsed="false">
      <c r="A1" s="9" t="s">
        <v>349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customFormat="false" ht="18.75" hidden="false" customHeight="false" outlineLevel="0" collapsed="false">
      <c r="A2" s="9" t="s">
        <v>350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customFormat="false" ht="18.75" hidden="false" customHeight="false" outlineLevel="0" collapsed="false">
      <c r="A3" s="2" t="s">
        <v>351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customFormat="false" ht="18.75" hidden="false" customHeight="false" outlineLevel="0" collapsed="false">
      <c r="A4" s="158" t="s">
        <v>352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customFormat="false" ht="21" hidden="false" customHeight="true" outlineLevel="0" collapsed="false">
      <c r="A5" s="18" t="s">
        <v>353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customFormat="false" ht="9" hidden="false" customHeight="true" outlineLevel="0" collapsed="false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customFormat="false" ht="18.75" hidden="false" customHeight="false" outlineLevel="0" collapsed="false">
      <c r="A7" s="1" t="s">
        <v>354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="97" customFormat="true" ht="7.5" hidden="false" customHeight="true" outlineLevel="0" collapsed="false"/>
    <row r="9" s="1" customFormat="true" ht="53.25" hidden="false" customHeight="true" outlineLevel="0" collapsed="false">
      <c r="A9" s="12" t="s">
        <v>9</v>
      </c>
      <c r="B9" s="12"/>
      <c r="C9" s="159" t="s">
        <v>355</v>
      </c>
      <c r="D9" s="159"/>
      <c r="E9" s="159"/>
      <c r="F9" s="12" t="s">
        <v>356</v>
      </c>
      <c r="G9" s="12"/>
      <c r="H9" s="12"/>
      <c r="I9" s="12" t="s">
        <v>357</v>
      </c>
      <c r="J9" s="12"/>
      <c r="K9" s="12"/>
      <c r="L9" s="12" t="s">
        <v>358</v>
      </c>
      <c r="M9" s="12"/>
      <c r="N9" s="12" t="s">
        <v>359</v>
      </c>
      <c r="O9" s="12"/>
    </row>
    <row r="10" s="1" customFormat="true" ht="17.25" hidden="false" customHeight="true" outlineLevel="0" collapsed="false">
      <c r="A10" s="12" t="n">
        <v>1</v>
      </c>
      <c r="B10" s="12"/>
      <c r="C10" s="159" t="n">
        <v>2</v>
      </c>
      <c r="D10" s="159"/>
      <c r="E10" s="159"/>
      <c r="F10" s="12" t="n">
        <v>3</v>
      </c>
      <c r="G10" s="12"/>
      <c r="H10" s="12"/>
      <c r="I10" s="12" t="n">
        <v>4</v>
      </c>
      <c r="J10" s="12"/>
      <c r="K10" s="12"/>
      <c r="L10" s="12" t="n">
        <v>5</v>
      </c>
      <c r="M10" s="12"/>
      <c r="N10" s="12" t="n">
        <v>6</v>
      </c>
      <c r="O10" s="12"/>
    </row>
    <row r="11" s="1" customFormat="true" ht="74.25" hidden="false" customHeight="true" outlineLevel="0" collapsed="false">
      <c r="A11" s="31" t="s">
        <v>360</v>
      </c>
      <c r="B11" s="31"/>
      <c r="C11" s="160" t="n">
        <f aca="false">SUM(C12:C16)</f>
        <v>1647</v>
      </c>
      <c r="D11" s="160"/>
      <c r="E11" s="160"/>
      <c r="F11" s="160" t="n">
        <f aca="false">SUM(F12:F16)</f>
        <v>1923</v>
      </c>
      <c r="G11" s="160"/>
      <c r="H11" s="160"/>
      <c r="I11" s="160" t="n">
        <f aca="false">SUM(I12:I16)</f>
        <v>1694</v>
      </c>
      <c r="J11" s="160"/>
      <c r="K11" s="160"/>
      <c r="L11" s="161" t="n">
        <f aca="false">I11-F11</f>
        <v>-229</v>
      </c>
      <c r="M11" s="161"/>
      <c r="N11" s="162" t="n">
        <f aca="false">(I11/F11)*100</f>
        <v>88.0915236609464</v>
      </c>
      <c r="O11" s="162"/>
    </row>
    <row r="12" s="1" customFormat="true" ht="20.25" hidden="false" customHeight="true" outlineLevel="0" collapsed="false">
      <c r="A12" s="29" t="s">
        <v>156</v>
      </c>
      <c r="B12" s="29"/>
      <c r="C12" s="161"/>
      <c r="D12" s="161"/>
      <c r="E12" s="161"/>
      <c r="F12" s="161"/>
      <c r="G12" s="161"/>
      <c r="H12" s="161"/>
      <c r="I12" s="161"/>
      <c r="J12" s="161"/>
      <c r="K12" s="161"/>
      <c r="L12" s="163" t="n">
        <f aca="false">I12-F12</f>
        <v>0</v>
      </c>
      <c r="M12" s="163"/>
      <c r="N12" s="164" t="e">
        <f aca="false">(I12/F12)*100</f>
        <v>#DIV/0!</v>
      </c>
      <c r="O12" s="164"/>
    </row>
    <row r="13" s="1" customFormat="true" ht="18.75" hidden="false" customHeight="true" outlineLevel="0" collapsed="false">
      <c r="A13" s="29" t="s">
        <v>158</v>
      </c>
      <c r="B13" s="29"/>
      <c r="C13" s="163"/>
      <c r="D13" s="163"/>
      <c r="E13" s="163"/>
      <c r="F13" s="163"/>
      <c r="G13" s="163"/>
      <c r="H13" s="163"/>
      <c r="I13" s="163"/>
      <c r="J13" s="163"/>
      <c r="K13" s="163"/>
      <c r="L13" s="163" t="n">
        <f aca="false">I13-F13</f>
        <v>0</v>
      </c>
      <c r="M13" s="163"/>
      <c r="N13" s="164" t="e">
        <f aca="false">(I13/F13)*100</f>
        <v>#DIV/0!</v>
      </c>
      <c r="O13" s="164"/>
    </row>
    <row r="14" s="1" customFormat="true" ht="18.75" hidden="false" customHeight="true" outlineLevel="0" collapsed="false">
      <c r="A14" s="29" t="s">
        <v>160</v>
      </c>
      <c r="B14" s="29"/>
      <c r="C14" s="163" t="n">
        <f aca="false">6+1+1+1+1+3</f>
        <v>13</v>
      </c>
      <c r="D14" s="163"/>
      <c r="E14" s="163"/>
      <c r="F14" s="163" t="n">
        <f aca="false">6+1+1+1+1+3</f>
        <v>13</v>
      </c>
      <c r="G14" s="163"/>
      <c r="H14" s="163"/>
      <c r="I14" s="165" t="n">
        <f aca="false">6+1+1+1+1+3</f>
        <v>13</v>
      </c>
      <c r="J14" s="165"/>
      <c r="K14" s="165"/>
      <c r="L14" s="163" t="n">
        <f aca="false">I14-F14</f>
        <v>0</v>
      </c>
      <c r="M14" s="163"/>
      <c r="N14" s="164" t="n">
        <f aca="false">(I14/F14)*100</f>
        <v>100</v>
      </c>
      <c r="O14" s="164"/>
    </row>
    <row r="15" s="1" customFormat="true" ht="18.75" hidden="false" customHeight="true" outlineLevel="0" collapsed="false">
      <c r="A15" s="29" t="s">
        <v>162</v>
      </c>
      <c r="B15" s="29"/>
      <c r="C15" s="163" t="n">
        <f aca="false">181+1+3+2+23+12</f>
        <v>222</v>
      </c>
      <c r="D15" s="163"/>
      <c r="E15" s="163"/>
      <c r="F15" s="163" t="n">
        <f aca="false">194+1+3+5+23+14</f>
        <v>240</v>
      </c>
      <c r="G15" s="163"/>
      <c r="H15" s="163"/>
      <c r="I15" s="163" t="n">
        <f aca="false">186+1+3+2+18+12</f>
        <v>222</v>
      </c>
      <c r="J15" s="163"/>
      <c r="K15" s="163"/>
      <c r="L15" s="163" t="n">
        <f aca="false">I15-F15</f>
        <v>-18</v>
      </c>
      <c r="M15" s="163"/>
      <c r="N15" s="164" t="n">
        <f aca="false">(I15/F15)*100</f>
        <v>92.5</v>
      </c>
      <c r="O15" s="164"/>
    </row>
    <row r="16" s="1" customFormat="true" ht="18.75" hidden="false" customHeight="true" outlineLevel="0" collapsed="false">
      <c r="A16" s="29" t="s">
        <v>164</v>
      </c>
      <c r="B16" s="29"/>
      <c r="C16" s="163" t="n">
        <f aca="false">1316+2+8+8+16+62</f>
        <v>1412</v>
      </c>
      <c r="D16" s="163"/>
      <c r="E16" s="163"/>
      <c r="F16" s="163" t="n">
        <f aca="false">1557+2+8+12+21+70</f>
        <v>1670</v>
      </c>
      <c r="G16" s="163"/>
      <c r="H16" s="163"/>
      <c r="I16" s="163" t="n">
        <f aca="false">1353+2+8+8+22+66</f>
        <v>1459</v>
      </c>
      <c r="J16" s="163"/>
      <c r="K16" s="163"/>
      <c r="L16" s="163" t="n">
        <f aca="false">I16-F16</f>
        <v>-211</v>
      </c>
      <c r="M16" s="163"/>
      <c r="N16" s="164" t="n">
        <f aca="false">(I16/F16)*100</f>
        <v>87.3652694610778</v>
      </c>
      <c r="O16" s="164"/>
    </row>
    <row r="17" s="18" customFormat="true" ht="37.5" hidden="false" customHeight="true" outlineLevel="0" collapsed="false">
      <c r="A17" s="166" t="s">
        <v>361</v>
      </c>
      <c r="B17" s="166"/>
      <c r="C17" s="160" t="n">
        <f aca="false">SUM(C18:C22)</f>
        <v>55495.6</v>
      </c>
      <c r="D17" s="160"/>
      <c r="E17" s="160"/>
      <c r="F17" s="160" t="n">
        <f aca="false">SUM(F18:F22)</f>
        <v>41372.6</v>
      </c>
      <c r="G17" s="160"/>
      <c r="H17" s="160"/>
      <c r="I17" s="160" t="n">
        <f aca="false">SUM(I18:I22)</f>
        <v>47148.7</v>
      </c>
      <c r="J17" s="160"/>
      <c r="K17" s="160"/>
      <c r="L17" s="161" t="n">
        <f aca="false">I17-F17</f>
        <v>5776.1</v>
      </c>
      <c r="M17" s="161"/>
      <c r="N17" s="162" t="n">
        <f aca="false">(I17/F17)*100</f>
        <v>113.961172370119</v>
      </c>
      <c r="O17" s="162"/>
    </row>
    <row r="18" s="1" customFormat="true" ht="21" hidden="false" customHeight="true" outlineLevel="0" collapsed="false">
      <c r="A18" s="29" t="s">
        <v>156</v>
      </c>
      <c r="B18" s="29"/>
      <c r="C18" s="167"/>
      <c r="D18" s="167"/>
      <c r="E18" s="167"/>
      <c r="F18" s="167"/>
      <c r="G18" s="167"/>
      <c r="H18" s="167"/>
      <c r="I18" s="167"/>
      <c r="J18" s="167"/>
      <c r="K18" s="167"/>
      <c r="L18" s="163" t="n">
        <f aca="false">I18-F18</f>
        <v>0</v>
      </c>
      <c r="M18" s="163"/>
      <c r="N18" s="164" t="e">
        <f aca="false">(I18/F18)*100</f>
        <v>#DIV/0!</v>
      </c>
      <c r="O18" s="164"/>
    </row>
    <row r="19" s="1" customFormat="true" ht="21" hidden="false" customHeight="true" outlineLevel="0" collapsed="false">
      <c r="A19" s="29" t="s">
        <v>158</v>
      </c>
      <c r="B19" s="29"/>
      <c r="C19" s="167"/>
      <c r="D19" s="167"/>
      <c r="E19" s="167"/>
      <c r="F19" s="167"/>
      <c r="G19" s="167"/>
      <c r="H19" s="167"/>
      <c r="I19" s="167"/>
      <c r="J19" s="167"/>
      <c r="K19" s="167"/>
      <c r="L19" s="163" t="n">
        <f aca="false">I19-F19</f>
        <v>0</v>
      </c>
      <c r="M19" s="163"/>
      <c r="N19" s="164" t="e">
        <f aca="false">(I19/F19)*100</f>
        <v>#DIV/0!</v>
      </c>
      <c r="O19" s="164"/>
    </row>
    <row r="20" s="1" customFormat="true" ht="18.75" hidden="false" customHeight="true" outlineLevel="0" collapsed="false">
      <c r="A20" s="168" t="s">
        <v>160</v>
      </c>
      <c r="B20" s="168"/>
      <c r="C20" s="163" t="n">
        <f aca="false">635+11+14+49+53+183.3</f>
        <v>945.3</v>
      </c>
      <c r="D20" s="163"/>
      <c r="E20" s="163"/>
      <c r="F20" s="163" t="n">
        <f aca="false">443+12+19+77+55+120.9</f>
        <v>726.9</v>
      </c>
      <c r="G20" s="163"/>
      <c r="H20" s="163"/>
      <c r="I20" s="165" t="n">
        <f aca="false">572+13+19+54+86+155.7</f>
        <v>899.7</v>
      </c>
      <c r="J20" s="165"/>
      <c r="K20" s="165"/>
      <c r="L20" s="163" t="n">
        <f aca="false">I20-F20</f>
        <v>172.8</v>
      </c>
      <c r="M20" s="163"/>
      <c r="N20" s="164" t="n">
        <f aca="false">(I20/F20)*100</f>
        <v>123.772183243913</v>
      </c>
      <c r="O20" s="164"/>
    </row>
    <row r="21" s="1" customFormat="true" ht="18.75" hidden="false" customHeight="true" outlineLevel="0" collapsed="false">
      <c r="A21" s="29" t="s">
        <v>162</v>
      </c>
      <c r="B21" s="29"/>
      <c r="C21" s="163" t="n">
        <f aca="false">6782+5+42+34+739+385.7</f>
        <v>7987.7</v>
      </c>
      <c r="D21" s="163"/>
      <c r="E21" s="163"/>
      <c r="F21" s="163" t="n">
        <f aca="false">6245+12+40+88+606+335.6</f>
        <v>7326.6</v>
      </c>
      <c r="G21" s="163"/>
      <c r="H21" s="163"/>
      <c r="I21" s="163" t="n">
        <f aca="false">6913+2+45+51+756+502.4</f>
        <v>8269.4</v>
      </c>
      <c r="J21" s="163"/>
      <c r="K21" s="163"/>
      <c r="L21" s="163" t="n">
        <f aca="false">I21-F21</f>
        <v>942.799999999999</v>
      </c>
      <c r="M21" s="163"/>
      <c r="N21" s="164" t="n">
        <f aca="false">(I21/F21)*100</f>
        <v>112.868178964322</v>
      </c>
      <c r="O21" s="164"/>
    </row>
    <row r="22" s="1" customFormat="true" ht="18.75" hidden="false" customHeight="true" outlineLevel="0" collapsed="false">
      <c r="A22" s="29" t="s">
        <v>164</v>
      </c>
      <c r="B22" s="29"/>
      <c r="C22" s="163" t="n">
        <f aca="false">45194+23+60+105+295+885.6</f>
        <v>46562.6</v>
      </c>
      <c r="D22" s="163"/>
      <c r="E22" s="163"/>
      <c r="F22" s="163" t="n">
        <f aca="false">31667+24+63+150+394+1021.1</f>
        <v>33319.1</v>
      </c>
      <c r="G22" s="163"/>
      <c r="H22" s="163"/>
      <c r="I22" s="163" t="n">
        <f aca="false">36372+26+61+114+374+1032.6</f>
        <v>37979.6</v>
      </c>
      <c r="J22" s="163"/>
      <c r="K22" s="163"/>
      <c r="L22" s="163" t="n">
        <f aca="false">I22-F22</f>
        <v>4660.5</v>
      </c>
      <c r="M22" s="163"/>
      <c r="N22" s="164" t="n">
        <f aca="false">(I22/F22)*100</f>
        <v>113.987472650822</v>
      </c>
      <c r="O22" s="164"/>
    </row>
    <row r="23" s="1" customFormat="true" ht="36" hidden="false" customHeight="true" outlineLevel="0" collapsed="false">
      <c r="A23" s="31" t="s">
        <v>362</v>
      </c>
      <c r="B23" s="31"/>
      <c r="C23" s="160" t="n">
        <f aca="false">'Осн. фін. пок.'!C63</f>
        <v>96564.6</v>
      </c>
      <c r="D23" s="160"/>
      <c r="E23" s="160"/>
      <c r="F23" s="160" t="n">
        <f aca="false">'Осн. фін. пок.'!E63</f>
        <v>42583.6</v>
      </c>
      <c r="G23" s="160"/>
      <c r="H23" s="160"/>
      <c r="I23" s="160" t="n">
        <f aca="false">'Осн. фін. пок.'!F63</f>
        <v>47099</v>
      </c>
      <c r="J23" s="160"/>
      <c r="K23" s="160"/>
      <c r="L23" s="161" t="n">
        <f aca="false">I23-F23</f>
        <v>4515.4</v>
      </c>
      <c r="M23" s="161"/>
      <c r="N23" s="162" t="n">
        <f aca="false">(I23/F23)*100</f>
        <v>110.603612658394</v>
      </c>
      <c r="O23" s="162"/>
    </row>
    <row r="24" s="1" customFormat="true" ht="18.75" hidden="false" customHeight="true" outlineLevel="0" collapsed="false">
      <c r="A24" s="29" t="s">
        <v>156</v>
      </c>
      <c r="B24" s="29"/>
      <c r="C24" s="163"/>
      <c r="D24" s="163"/>
      <c r="E24" s="163"/>
      <c r="F24" s="163"/>
      <c r="G24" s="163"/>
      <c r="H24" s="163"/>
      <c r="I24" s="163"/>
      <c r="J24" s="163"/>
      <c r="K24" s="163"/>
      <c r="L24" s="163" t="n">
        <f aca="false">I24-F24</f>
        <v>0</v>
      </c>
      <c r="M24" s="163"/>
      <c r="N24" s="164" t="e">
        <f aca="false">(I24/F24)*100</f>
        <v>#DIV/0!</v>
      </c>
      <c r="O24" s="164"/>
    </row>
    <row r="25" s="1" customFormat="true" ht="18.75" hidden="false" customHeight="true" outlineLevel="0" collapsed="false">
      <c r="A25" s="29" t="s">
        <v>158</v>
      </c>
      <c r="B25" s="29"/>
      <c r="C25" s="163"/>
      <c r="D25" s="163"/>
      <c r="E25" s="163"/>
      <c r="F25" s="163"/>
      <c r="G25" s="163"/>
      <c r="H25" s="163"/>
      <c r="I25" s="163"/>
      <c r="J25" s="163"/>
      <c r="K25" s="163"/>
      <c r="L25" s="163" t="n">
        <f aca="false">I25-F25</f>
        <v>0</v>
      </c>
      <c r="M25" s="163"/>
      <c r="N25" s="164" t="e">
        <f aca="false">(I25/F25)*100</f>
        <v>#DIV/0!</v>
      </c>
      <c r="O25" s="164"/>
    </row>
    <row r="26" s="1" customFormat="true" ht="18.75" hidden="false" customHeight="true" outlineLevel="0" collapsed="false">
      <c r="A26" s="29" t="s">
        <v>160</v>
      </c>
      <c r="B26" s="29"/>
      <c r="C26" s="163" t="n">
        <f aca="false">636+11+14+98+53+183.3</f>
        <v>995.3</v>
      </c>
      <c r="D26" s="163"/>
      <c r="E26" s="163"/>
      <c r="F26" s="163" t="n">
        <f aca="false">443+12+19+80+56+120.9</f>
        <v>730.9</v>
      </c>
      <c r="G26" s="163"/>
      <c r="H26" s="163"/>
      <c r="I26" s="165" t="n">
        <f aca="false">574+13+19+98+86+155.7</f>
        <v>945.7</v>
      </c>
      <c r="J26" s="165"/>
      <c r="K26" s="165"/>
      <c r="L26" s="163" t="n">
        <f aca="false">I26-F26</f>
        <v>214.8</v>
      </c>
      <c r="M26" s="163"/>
      <c r="N26" s="164" t="n">
        <f aca="false">(I26/F26)*100</f>
        <v>129.38842522917</v>
      </c>
      <c r="O26" s="164"/>
    </row>
    <row r="27" s="1" customFormat="true" ht="18.75" hidden="false" customHeight="true" outlineLevel="0" collapsed="false">
      <c r="A27" s="29" t="s">
        <v>162</v>
      </c>
      <c r="B27" s="29"/>
      <c r="C27" s="163" t="n">
        <f aca="false">7132+5+42+65+753+385.7</f>
        <v>8382.7</v>
      </c>
      <c r="D27" s="163"/>
      <c r="E27" s="163"/>
      <c r="F27" s="163" t="n">
        <f aca="false">6292+12+40+92+609+335.6</f>
        <v>7380.6</v>
      </c>
      <c r="G27" s="163"/>
      <c r="H27" s="163"/>
      <c r="I27" s="163" t="n">
        <f aca="false">7064+2+45+121+763+502.4</f>
        <v>8497.4</v>
      </c>
      <c r="J27" s="163"/>
      <c r="K27" s="163"/>
      <c r="L27" s="163" t="n">
        <f aca="false">I27-F27</f>
        <v>1116.8</v>
      </c>
      <c r="M27" s="163"/>
      <c r="N27" s="164" t="n">
        <f aca="false">(I27/F27)*100</f>
        <v>115.131561119692</v>
      </c>
      <c r="O27" s="164"/>
    </row>
    <row r="28" s="1" customFormat="true" ht="18.75" hidden="false" customHeight="true" outlineLevel="0" collapsed="false">
      <c r="A28" s="29" t="s">
        <v>164</v>
      </c>
      <c r="B28" s="29"/>
      <c r="C28" s="163" t="n">
        <f aca="false">46365+23+60+152+295+885.6</f>
        <v>47780.6</v>
      </c>
      <c r="D28" s="163"/>
      <c r="E28" s="163"/>
      <c r="F28" s="163" t="n">
        <f aca="false">32821+24+63+155+395+1020.7</f>
        <v>34478.7</v>
      </c>
      <c r="G28" s="163"/>
      <c r="H28" s="163"/>
      <c r="I28" s="163" t="n">
        <f aca="false">35978+26+61+169+377+1024.8</f>
        <v>37635.8</v>
      </c>
      <c r="J28" s="163"/>
      <c r="K28" s="163"/>
      <c r="L28" s="163" t="n">
        <f aca="false">I28-F28</f>
        <v>3157.10000000001</v>
      </c>
      <c r="M28" s="163"/>
      <c r="N28" s="164" t="n">
        <f aca="false">(I28/F28)*100</f>
        <v>109.156667739793</v>
      </c>
      <c r="O28" s="164"/>
    </row>
    <row r="29" s="1" customFormat="true" ht="56.25" hidden="false" customHeight="true" outlineLevel="0" collapsed="false">
      <c r="A29" s="31" t="s">
        <v>363</v>
      </c>
      <c r="B29" s="31"/>
      <c r="C29" s="169" t="n">
        <f aca="false">(C23/C11)/3*1000</f>
        <v>19543.5336976321</v>
      </c>
      <c r="D29" s="169"/>
      <c r="E29" s="169"/>
      <c r="F29" s="169" t="n">
        <f aca="false">(F23/F11)/3*1000</f>
        <v>7381.45259143699</v>
      </c>
      <c r="G29" s="169"/>
      <c r="H29" s="169"/>
      <c r="I29" s="169" t="n">
        <f aca="false">(I23/I11)/3*1000</f>
        <v>9267.80794962613</v>
      </c>
      <c r="J29" s="169"/>
      <c r="K29" s="169"/>
      <c r="L29" s="161" t="n">
        <f aca="false">I29-F29</f>
        <v>1886.35535818914</v>
      </c>
      <c r="M29" s="161"/>
      <c r="N29" s="162" t="n">
        <f aca="false">(I29/F29)*100</f>
        <v>125.555340697811</v>
      </c>
      <c r="O29" s="162"/>
    </row>
    <row r="30" s="1" customFormat="true" ht="18.75" hidden="false" customHeight="true" outlineLevel="0" collapsed="false">
      <c r="A30" s="103" t="s">
        <v>169</v>
      </c>
      <c r="B30" s="103"/>
      <c r="C30" s="170" t="e">
        <f aca="false">(C24/C12)/3*1000</f>
        <v>#DIV/0!</v>
      </c>
      <c r="D30" s="170"/>
      <c r="E30" s="170"/>
      <c r="F30" s="170" t="e">
        <f aca="false">(F24/F12)/3*1000</f>
        <v>#DIV/0!</v>
      </c>
      <c r="G30" s="170"/>
      <c r="H30" s="170"/>
      <c r="I30" s="170" t="e">
        <f aca="false">(I24/I12)/3*1000</f>
        <v>#DIV/0!</v>
      </c>
      <c r="J30" s="170"/>
      <c r="K30" s="170"/>
      <c r="L30" s="163" t="e">
        <f aca="false">I30-F30</f>
        <v>#DIV/0!</v>
      </c>
      <c r="M30" s="163"/>
      <c r="N30" s="164" t="e">
        <f aca="false">(I30/F30)*100</f>
        <v>#DIV/0!</v>
      </c>
      <c r="O30" s="164"/>
    </row>
    <row r="31" s="1" customFormat="true" ht="18.75" hidden="false" customHeight="true" outlineLevel="0" collapsed="false">
      <c r="A31" s="103" t="s">
        <v>171</v>
      </c>
      <c r="B31" s="103"/>
      <c r="C31" s="170" t="e">
        <f aca="false">(C25/C13)/3*1000</f>
        <v>#DIV/0!</v>
      </c>
      <c r="D31" s="170"/>
      <c r="E31" s="170"/>
      <c r="F31" s="170" t="e">
        <f aca="false">(F25/F13)/3*1000</f>
        <v>#DIV/0!</v>
      </c>
      <c r="G31" s="170"/>
      <c r="H31" s="170"/>
      <c r="I31" s="170" t="e">
        <f aca="false">(I25/I13)/3*1000</f>
        <v>#DIV/0!</v>
      </c>
      <c r="J31" s="170"/>
      <c r="K31" s="170"/>
      <c r="L31" s="163" t="e">
        <f aca="false">I31-F31</f>
        <v>#DIV/0!</v>
      </c>
      <c r="M31" s="163"/>
      <c r="N31" s="164" t="e">
        <f aca="false">(I31/F31)*100</f>
        <v>#DIV/0!</v>
      </c>
      <c r="O31" s="164"/>
    </row>
    <row r="32" s="1" customFormat="true" ht="18.75" hidden="false" customHeight="true" outlineLevel="0" collapsed="false">
      <c r="A32" s="171" t="s">
        <v>364</v>
      </c>
      <c r="B32" s="171"/>
      <c r="C32" s="170" t="n">
        <f aca="false">(C26/C14)/3*1000</f>
        <v>25520.5128205128</v>
      </c>
      <c r="D32" s="170"/>
      <c r="E32" s="170"/>
      <c r="F32" s="170" t="n">
        <f aca="false">(F26/F14)/3*1000</f>
        <v>18741.0256410256</v>
      </c>
      <c r="G32" s="170"/>
      <c r="H32" s="170"/>
      <c r="I32" s="170" t="n">
        <f aca="false">(I26/I14)/3*1000</f>
        <v>24248.7179487179</v>
      </c>
      <c r="J32" s="170"/>
      <c r="K32" s="170"/>
      <c r="L32" s="163" t="n">
        <f aca="false">I32-F32</f>
        <v>5507.69230769231</v>
      </c>
      <c r="M32" s="163"/>
      <c r="N32" s="164" t="n">
        <f aca="false">(I32/F32)*100</f>
        <v>129.38842522917</v>
      </c>
      <c r="O32" s="164"/>
    </row>
    <row r="33" s="176" customFormat="true" ht="18.75" hidden="false" customHeight="true" outlineLevel="0" collapsed="false">
      <c r="A33" s="172" t="s">
        <v>365</v>
      </c>
      <c r="B33" s="172"/>
      <c r="C33" s="173" t="n">
        <f aca="false">126307+3666.7+3207+11160+11854.7+4388.3</f>
        <v>160583.7</v>
      </c>
      <c r="D33" s="173"/>
      <c r="E33" s="173"/>
      <c r="F33" s="173" t="n">
        <f aca="false">140274.4+4000+3496+12521+12636+4661.7</f>
        <v>177589.1</v>
      </c>
      <c r="G33" s="173"/>
      <c r="H33" s="173"/>
      <c r="I33" s="173" t="n">
        <f aca="false">178696.3+4333.3+3496+12521+27902+4661.7</f>
        <v>231610.3</v>
      </c>
      <c r="J33" s="173"/>
      <c r="K33" s="173"/>
      <c r="L33" s="174" t="n">
        <f aca="false">I33-F33</f>
        <v>54021.2</v>
      </c>
      <c r="M33" s="174"/>
      <c r="N33" s="175" t="n">
        <f aca="false">(I33/F33)*100</f>
        <v>130.419209287056</v>
      </c>
      <c r="O33" s="175"/>
    </row>
    <row r="34" s="176" customFormat="true" ht="18.75" hidden="false" customHeight="true" outlineLevel="0" collapsed="false">
      <c r="A34" s="172" t="s">
        <v>366</v>
      </c>
      <c r="B34" s="172"/>
      <c r="C34" s="173" t="n">
        <f aca="false">44.4+59.7+11160+4060+12121.5</f>
        <v>27445.6</v>
      </c>
      <c r="D34" s="173"/>
      <c r="E34" s="173"/>
      <c r="F34" s="173" t="n">
        <f aca="false">5009+230+3965+5641.6</f>
        <v>14845.6</v>
      </c>
      <c r="G34" s="173"/>
      <c r="H34" s="173"/>
      <c r="I34" s="173" t="n">
        <f aca="false">133.3+230+12521+7513.9</f>
        <v>20398.2</v>
      </c>
      <c r="J34" s="173"/>
      <c r="K34" s="173"/>
      <c r="L34" s="174" t="n">
        <f aca="false">I34-F34</f>
        <v>5552.6</v>
      </c>
      <c r="M34" s="174"/>
      <c r="N34" s="175" t="n">
        <f aca="false">(I34/F34)*100</f>
        <v>137.402327962494</v>
      </c>
      <c r="O34" s="175"/>
    </row>
    <row r="35" s="176" customFormat="true" ht="18.75" hidden="false" customHeight="true" outlineLevel="0" collapsed="false">
      <c r="A35" s="172" t="s">
        <v>367</v>
      </c>
      <c r="B35" s="172"/>
      <c r="C35" s="173" t="n">
        <f aca="false">2625.9+1400+5022+1634.9+3856.9</f>
        <v>14539.7</v>
      </c>
      <c r="D35" s="173"/>
      <c r="E35" s="173"/>
      <c r="F35" s="173" t="n">
        <f aca="false">2250+2607.3+6260+2149+3130.1</f>
        <v>16396.4</v>
      </c>
      <c r="G35" s="173"/>
      <c r="H35" s="173"/>
      <c r="I35" s="173" t="n">
        <f aca="false">2302.2+2607.3+6260+830+5124.4</f>
        <v>17123.9</v>
      </c>
      <c r="J35" s="173"/>
      <c r="K35" s="173"/>
      <c r="L35" s="174" t="n">
        <f aca="false">I35-F35</f>
        <v>727.500000000004</v>
      </c>
      <c r="M35" s="174"/>
      <c r="N35" s="175" t="n">
        <f aca="false">(I35/F35)*100</f>
        <v>104.436949574297</v>
      </c>
      <c r="O35" s="175"/>
    </row>
    <row r="36" s="1" customFormat="true" ht="18.75" hidden="false" customHeight="true" outlineLevel="0" collapsed="false">
      <c r="A36" s="103" t="s">
        <v>174</v>
      </c>
      <c r="B36" s="103"/>
      <c r="C36" s="170" t="n">
        <f aca="false">(C27/C15)/3*1000</f>
        <v>12586.6366366366</v>
      </c>
      <c r="D36" s="170"/>
      <c r="E36" s="170"/>
      <c r="F36" s="170" t="n">
        <f aca="false">(F27/F15)/3*1000</f>
        <v>10250.8333333333</v>
      </c>
      <c r="G36" s="170"/>
      <c r="H36" s="170"/>
      <c r="I36" s="170" t="n">
        <f aca="false">(I27/I15)/3*1000</f>
        <v>12758.8588588589</v>
      </c>
      <c r="J36" s="170"/>
      <c r="K36" s="170"/>
      <c r="L36" s="163" t="n">
        <f aca="false">I36-F36</f>
        <v>2508.02552552552</v>
      </c>
      <c r="M36" s="163"/>
      <c r="N36" s="164" t="n">
        <f aca="false">(I36/F36)*100</f>
        <v>124.466552561829</v>
      </c>
      <c r="O36" s="164"/>
    </row>
    <row r="37" s="1" customFormat="true" ht="18.75" hidden="false" customHeight="true" outlineLevel="0" collapsed="false">
      <c r="A37" s="103" t="s">
        <v>176</v>
      </c>
      <c r="B37" s="103"/>
      <c r="C37" s="170" t="n">
        <f aca="false">(C28/C16)/3*1000</f>
        <v>11279.6506137866</v>
      </c>
      <c r="D37" s="170"/>
      <c r="E37" s="170"/>
      <c r="F37" s="170" t="n">
        <f aca="false">(F28/F16)/3*1000</f>
        <v>6881.97604790419</v>
      </c>
      <c r="G37" s="170"/>
      <c r="H37" s="170"/>
      <c r="I37" s="170" t="n">
        <f aca="false">(I28/I16)/3*1000</f>
        <v>8598.53781128627</v>
      </c>
      <c r="J37" s="170"/>
      <c r="K37" s="170"/>
      <c r="L37" s="163" t="n">
        <f aca="false">I37-F37</f>
        <v>1716.56176338208</v>
      </c>
      <c r="M37" s="163"/>
      <c r="N37" s="164" t="n">
        <f aca="false">(I37/F37)*100</f>
        <v>124.942861634993</v>
      </c>
      <c r="O37" s="164"/>
    </row>
    <row r="38" s="1" customFormat="true" ht="13.5" hidden="false" customHeight="true" outlineLevel="0" collapsed="false">
      <c r="A38" s="89"/>
      <c r="B38" s="89"/>
      <c r="C38" s="89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95"/>
      <c r="O38" s="95"/>
    </row>
    <row r="39" customFormat="false" ht="18.75" hidden="false" customHeight="true" outlineLevel="0" collapsed="false">
      <c r="A39" s="178" t="s">
        <v>368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</row>
    <row r="40" customFormat="false" ht="11.25" hidden="false" customHeight="true" outlineLevel="0" collapsed="false">
      <c r="A40" s="179"/>
      <c r="B40" s="179"/>
      <c r="C40" s="179"/>
      <c r="D40" s="179"/>
      <c r="E40" s="179"/>
      <c r="F40" s="179"/>
      <c r="G40" s="179"/>
      <c r="H40" s="179"/>
      <c r="I40" s="179"/>
    </row>
    <row r="41" customFormat="false" ht="30.75" hidden="false" customHeight="true" outlineLevel="0" collapsed="false">
      <c r="A41" s="18" t="s">
        <v>369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customFormat="false" ht="12.75" hidden="false" customHeight="true" outlineLevel="0" collapsed="false"/>
    <row r="43" customFormat="false" ht="24.95" hidden="false" customHeight="true" outlineLevel="0" collapsed="false">
      <c r="A43" s="180" t="s">
        <v>370</v>
      </c>
      <c r="B43" s="180" t="s">
        <v>371</v>
      </c>
      <c r="C43" s="180"/>
      <c r="D43" s="180"/>
      <c r="E43" s="180"/>
      <c r="F43" s="11" t="s">
        <v>372</v>
      </c>
      <c r="G43" s="11"/>
      <c r="H43" s="11"/>
      <c r="I43" s="11"/>
      <c r="J43" s="11"/>
      <c r="K43" s="11"/>
      <c r="L43" s="11"/>
      <c r="M43" s="11"/>
      <c r="N43" s="11"/>
      <c r="O43" s="11"/>
    </row>
    <row r="44" customFormat="false" ht="17.25" hidden="false" customHeight="true" outlineLevel="0" collapsed="false">
      <c r="A44" s="180" t="n">
        <v>1</v>
      </c>
      <c r="B44" s="180" t="n">
        <v>2</v>
      </c>
      <c r="C44" s="180"/>
      <c r="D44" s="180"/>
      <c r="E44" s="180"/>
      <c r="F44" s="11" t="n">
        <v>3</v>
      </c>
      <c r="G44" s="11"/>
      <c r="H44" s="11"/>
      <c r="I44" s="11"/>
      <c r="J44" s="11"/>
      <c r="K44" s="11"/>
      <c r="L44" s="11"/>
      <c r="M44" s="11"/>
      <c r="N44" s="11"/>
      <c r="O44" s="11"/>
    </row>
    <row r="45" customFormat="false" ht="20.1" hidden="false" customHeight="true" outlineLevel="0" collapsed="false">
      <c r="A45" s="181"/>
      <c r="B45" s="182"/>
      <c r="C45" s="182"/>
      <c r="D45" s="182"/>
      <c r="E45" s="182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customFormat="false" ht="20.1" hidden="false" customHeight="true" outlineLevel="0" collapsed="false">
      <c r="A46" s="181"/>
      <c r="B46" s="182"/>
      <c r="C46" s="182"/>
      <c r="D46" s="182"/>
      <c r="E46" s="182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customFormat="false" ht="20.1" hidden="false" customHeight="true" outlineLevel="0" collapsed="false">
      <c r="A47" s="181"/>
      <c r="B47" s="182"/>
      <c r="C47" s="182"/>
      <c r="D47" s="182"/>
      <c r="E47" s="182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customFormat="false" ht="20.1" hidden="false" customHeight="true" outlineLevel="0" collapsed="false">
      <c r="A48" s="181"/>
      <c r="B48" s="182"/>
      <c r="C48" s="182"/>
      <c r="D48" s="182"/>
      <c r="E48" s="182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customFormat="false" ht="18.75" hidden="false" customHeight="true" outlineLevel="0" collapsed="false">
      <c r="A49" s="18" t="s">
        <v>373</v>
      </c>
      <c r="B49" s="18"/>
      <c r="C49" s="18"/>
      <c r="D49" s="18"/>
      <c r="E49" s="18"/>
      <c r="F49" s="18"/>
      <c r="G49" s="18"/>
      <c r="H49" s="18"/>
      <c r="I49" s="18"/>
      <c r="J49" s="18"/>
    </row>
    <row r="50" customFormat="false" ht="18.75" hidden="false" customHeight="false" outlineLevel="0" collapsed="false">
      <c r="A50" s="183"/>
    </row>
    <row r="51" customFormat="false" ht="52.5" hidden="false" customHeight="true" outlineLevel="0" collapsed="false">
      <c r="A51" s="12" t="s">
        <v>374</v>
      </c>
      <c r="B51" s="12"/>
      <c r="C51" s="12"/>
      <c r="D51" s="12" t="s">
        <v>375</v>
      </c>
      <c r="E51" s="12"/>
      <c r="F51" s="12"/>
      <c r="G51" s="12" t="s">
        <v>376</v>
      </c>
      <c r="H51" s="12"/>
      <c r="I51" s="12"/>
      <c r="J51" s="12" t="s">
        <v>377</v>
      </c>
      <c r="K51" s="12"/>
      <c r="L51" s="12"/>
      <c r="M51" s="12" t="s">
        <v>378</v>
      </c>
      <c r="N51" s="12"/>
      <c r="O51" s="12"/>
    </row>
    <row r="52" customFormat="false" ht="155.25" hidden="false" customHeight="true" outlineLevel="0" collapsed="false">
      <c r="A52" s="12"/>
      <c r="B52" s="12"/>
      <c r="C52" s="12"/>
      <c r="D52" s="12" t="s">
        <v>379</v>
      </c>
      <c r="E52" s="12" t="s">
        <v>380</v>
      </c>
      <c r="F52" s="12" t="s">
        <v>381</v>
      </c>
      <c r="G52" s="12" t="s">
        <v>379</v>
      </c>
      <c r="H52" s="12" t="s">
        <v>380</v>
      </c>
      <c r="I52" s="12" t="s">
        <v>381</v>
      </c>
      <c r="J52" s="12" t="s">
        <v>379</v>
      </c>
      <c r="K52" s="12" t="s">
        <v>380</v>
      </c>
      <c r="L52" s="12" t="s">
        <v>381</v>
      </c>
      <c r="M52" s="184" t="s">
        <v>382</v>
      </c>
      <c r="N52" s="184" t="s">
        <v>383</v>
      </c>
      <c r="O52" s="184" t="s">
        <v>384</v>
      </c>
    </row>
    <row r="53" customFormat="false" ht="18.75" hidden="false" customHeight="true" outlineLevel="0" collapsed="false">
      <c r="A53" s="12" t="n">
        <v>1</v>
      </c>
      <c r="B53" s="12"/>
      <c r="C53" s="12"/>
      <c r="D53" s="12" t="n">
        <v>2</v>
      </c>
      <c r="E53" s="12" t="n">
        <v>3</v>
      </c>
      <c r="F53" s="12" t="n">
        <v>4</v>
      </c>
      <c r="G53" s="12" t="n">
        <v>5</v>
      </c>
      <c r="H53" s="11" t="n">
        <v>6</v>
      </c>
      <c r="I53" s="11" t="n">
        <v>7</v>
      </c>
      <c r="J53" s="11" t="n">
        <v>8</v>
      </c>
      <c r="K53" s="11" t="n">
        <v>9</v>
      </c>
      <c r="L53" s="11" t="n">
        <v>10</v>
      </c>
      <c r="M53" s="11" t="n">
        <v>11</v>
      </c>
      <c r="N53" s="11" t="n">
        <v>12</v>
      </c>
      <c r="O53" s="11" t="n">
        <v>13</v>
      </c>
    </row>
    <row r="54" customFormat="false" ht="18.75" hidden="false" customHeight="true" outlineLevel="0" collapsed="false">
      <c r="A54" s="12"/>
      <c r="B54" s="12"/>
      <c r="C54" s="12"/>
      <c r="D54" s="185" t="n">
        <v>56109</v>
      </c>
      <c r="E54" s="185" t="n">
        <v>14326</v>
      </c>
      <c r="F54" s="186" t="n">
        <v>2784</v>
      </c>
      <c r="G54" s="185" t="n">
        <v>60777</v>
      </c>
      <c r="H54" s="185" t="n">
        <v>9561</v>
      </c>
      <c r="I54" s="186" t="n">
        <v>2643</v>
      </c>
      <c r="J54" s="187" t="n">
        <f aca="false">G54-D54</f>
        <v>4668</v>
      </c>
      <c r="K54" s="187" t="n">
        <f aca="false">H54-E54</f>
        <v>-4765</v>
      </c>
      <c r="L54" s="188" t="n">
        <f aca="false">I54-F54</f>
        <v>-141</v>
      </c>
      <c r="M54" s="28" t="n">
        <f aca="false">(G54/D54)*100</f>
        <v>108.319520932471</v>
      </c>
      <c r="N54" s="28" t="n">
        <f aca="false">(H54/E54)*100</f>
        <v>66.738796593606</v>
      </c>
      <c r="O54" s="28" t="n">
        <f aca="false">(I54/F54)*100</f>
        <v>94.9353448275862</v>
      </c>
    </row>
    <row r="55" customFormat="false" ht="18.75" hidden="false" customHeight="true" outlineLevel="0" collapsed="false">
      <c r="A55" s="12"/>
      <c r="B55" s="12"/>
      <c r="C55" s="12"/>
      <c r="D55" s="185" t="n">
        <v>67</v>
      </c>
      <c r="E55" s="185"/>
      <c r="F55" s="186"/>
      <c r="G55" s="185" t="n">
        <v>65</v>
      </c>
      <c r="H55" s="185"/>
      <c r="I55" s="186"/>
      <c r="J55" s="187" t="n">
        <f aca="false">G55-D55</f>
        <v>-2</v>
      </c>
      <c r="K55" s="187" t="n">
        <f aca="false">H55-E55</f>
        <v>0</v>
      </c>
      <c r="L55" s="188" t="n">
        <f aca="false">I55-F55</f>
        <v>0</v>
      </c>
      <c r="M55" s="28" t="n">
        <f aca="false">(G55/D55)*100</f>
        <v>97.0149253731343</v>
      </c>
      <c r="N55" s="28" t="e">
        <f aca="false">(H55/E55)*100</f>
        <v>#DIV/0!</v>
      </c>
      <c r="O55" s="28" t="e">
        <f aca="false">(I55/F55)*100</f>
        <v>#DIV/0!</v>
      </c>
    </row>
    <row r="56" customFormat="false" ht="20.1" hidden="false" customHeight="true" outlineLevel="0" collapsed="false">
      <c r="A56" s="29"/>
      <c r="B56" s="29"/>
      <c r="C56" s="29"/>
      <c r="D56" s="185" t="n">
        <v>180</v>
      </c>
      <c r="E56" s="185"/>
      <c r="F56" s="186"/>
      <c r="G56" s="185" t="n">
        <v>242</v>
      </c>
      <c r="H56" s="185"/>
      <c r="I56" s="186"/>
      <c r="J56" s="187" t="n">
        <f aca="false">G56-D56</f>
        <v>62</v>
      </c>
      <c r="K56" s="187" t="n">
        <f aca="false">H56-E56</f>
        <v>0</v>
      </c>
      <c r="L56" s="188" t="n">
        <f aca="false">I56-F56</f>
        <v>0</v>
      </c>
      <c r="M56" s="28" t="n">
        <f aca="false">(G56/D56)*100</f>
        <v>134.444444444444</v>
      </c>
      <c r="N56" s="28" t="e">
        <f aca="false">(H56/E56)*100</f>
        <v>#DIV/0!</v>
      </c>
      <c r="O56" s="28" t="e">
        <f aca="false">(I56/F56)*100</f>
        <v>#DIV/0!</v>
      </c>
    </row>
    <row r="57" customFormat="false" ht="20.1" hidden="false" customHeight="true" outlineLevel="0" collapsed="false">
      <c r="A57" s="29"/>
      <c r="B57" s="29"/>
      <c r="C57" s="29"/>
      <c r="D57" s="185" t="n">
        <f aca="false">4309+307.6</f>
        <v>4616.6</v>
      </c>
      <c r="E57" s="185"/>
      <c r="F57" s="186"/>
      <c r="G57" s="185" t="n">
        <f aca="false">3945+321.3</f>
        <v>4266.3</v>
      </c>
      <c r="H57" s="185"/>
      <c r="I57" s="186"/>
      <c r="J57" s="187" t="n">
        <f aca="false">G57-D57</f>
        <v>-350.3</v>
      </c>
      <c r="K57" s="187" t="n">
        <f aca="false">H57-E57</f>
        <v>0</v>
      </c>
      <c r="L57" s="188" t="n">
        <f aca="false">I57-F57</f>
        <v>0</v>
      </c>
      <c r="M57" s="28" t="n">
        <f aca="false">(G57/D57)*100</f>
        <v>92.4121647966036</v>
      </c>
      <c r="N57" s="28" t="e">
        <f aca="false">(H57/E57)*100</f>
        <v>#DIV/0!</v>
      </c>
      <c r="O57" s="28" t="e">
        <f aca="false">(I57/F57)*100</f>
        <v>#DIV/0!</v>
      </c>
    </row>
    <row r="58" customFormat="false" ht="24.95" hidden="false" customHeight="true" outlineLevel="0" collapsed="false">
      <c r="A58" s="105" t="s">
        <v>63</v>
      </c>
      <c r="B58" s="105"/>
      <c r="C58" s="105"/>
      <c r="D58" s="189" t="n">
        <f aca="false">SUM(D54:D57)</f>
        <v>60972.6</v>
      </c>
      <c r="E58" s="167"/>
      <c r="F58" s="190"/>
      <c r="G58" s="189" t="n">
        <f aca="false">SUM(G54:G57)</f>
        <v>65350.3</v>
      </c>
      <c r="H58" s="167"/>
      <c r="I58" s="190"/>
      <c r="J58" s="187" t="n">
        <f aca="false">G58-D58</f>
        <v>4377.7</v>
      </c>
      <c r="K58" s="167"/>
      <c r="L58" s="190"/>
      <c r="M58" s="28" t="n">
        <f aca="false">(G58/D58)*100</f>
        <v>107.179782394059</v>
      </c>
      <c r="N58" s="167"/>
      <c r="O58" s="190"/>
    </row>
    <row r="59" customFormat="false" ht="18.75" hidden="false" customHeight="false" outlineLevel="0" collapsed="false">
      <c r="A59" s="3"/>
      <c r="B59" s="191"/>
      <c r="C59" s="191"/>
      <c r="D59" s="191"/>
      <c r="E59" s="191"/>
      <c r="F59" s="9"/>
      <c r="G59" s="9"/>
      <c r="H59" s="9"/>
      <c r="I59" s="18"/>
      <c r="J59" s="18"/>
      <c r="K59" s="18"/>
      <c r="L59" s="18"/>
      <c r="M59" s="18"/>
      <c r="N59" s="18"/>
      <c r="O59" s="18"/>
    </row>
    <row r="60" customFormat="false" ht="18.75" hidden="false" customHeight="true" outlineLevel="0" collapsed="false">
      <c r="A60" s="18" t="s">
        <v>385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customFormat="false" ht="18.75" hidden="false" customHeight="false" outlineLevel="0" collapsed="false">
      <c r="A61" s="183"/>
    </row>
    <row r="62" customFormat="false" ht="56.25" hidden="false" customHeight="true" outlineLevel="0" collapsed="false">
      <c r="A62" s="12" t="s">
        <v>386</v>
      </c>
      <c r="B62" s="12" t="s">
        <v>387</v>
      </c>
      <c r="C62" s="12"/>
      <c r="D62" s="12" t="s">
        <v>388</v>
      </c>
      <c r="E62" s="12"/>
      <c r="F62" s="12" t="s">
        <v>389</v>
      </c>
      <c r="G62" s="12"/>
      <c r="H62" s="12" t="s">
        <v>390</v>
      </c>
      <c r="I62" s="12"/>
      <c r="J62" s="12"/>
      <c r="K62" s="12" t="s">
        <v>391</v>
      </c>
      <c r="L62" s="12"/>
      <c r="M62" s="12" t="s">
        <v>392</v>
      </c>
      <c r="N62" s="12"/>
      <c r="O62" s="12"/>
    </row>
    <row r="63" customFormat="false" ht="18.75" hidden="false" customHeight="true" outlineLevel="0" collapsed="false">
      <c r="A63" s="11" t="n">
        <v>1</v>
      </c>
      <c r="B63" s="11" t="n">
        <v>2</v>
      </c>
      <c r="C63" s="11"/>
      <c r="D63" s="11" t="n">
        <v>3</v>
      </c>
      <c r="E63" s="11"/>
      <c r="F63" s="11" t="n">
        <v>4</v>
      </c>
      <c r="G63" s="11"/>
      <c r="H63" s="11" t="n">
        <v>5</v>
      </c>
      <c r="I63" s="11"/>
      <c r="J63" s="11"/>
      <c r="K63" s="11" t="n">
        <v>6</v>
      </c>
      <c r="L63" s="11"/>
      <c r="M63" s="11" t="n">
        <v>7</v>
      </c>
      <c r="N63" s="11"/>
      <c r="O63" s="11"/>
    </row>
    <row r="64" customFormat="false" ht="18.75" hidden="false" customHeight="true" outlineLevel="0" collapsed="false">
      <c r="A64" s="103"/>
      <c r="B64" s="103"/>
      <c r="C64" s="103"/>
      <c r="D64" s="192"/>
      <c r="E64" s="192"/>
      <c r="F64" s="67" t="s">
        <v>393</v>
      </c>
      <c r="G64" s="67"/>
      <c r="H64" s="193"/>
      <c r="I64" s="193"/>
      <c r="J64" s="193"/>
      <c r="K64" s="185"/>
      <c r="L64" s="185"/>
      <c r="M64" s="192"/>
      <c r="N64" s="192"/>
      <c r="O64" s="192"/>
    </row>
    <row r="65" customFormat="false" ht="18.75" hidden="false" customHeight="true" outlineLevel="0" collapsed="false">
      <c r="A65" s="103"/>
      <c r="B65" s="103"/>
      <c r="C65" s="103"/>
      <c r="D65" s="192"/>
      <c r="E65" s="192"/>
      <c r="F65" s="67"/>
      <c r="G65" s="67"/>
      <c r="H65" s="193"/>
      <c r="I65" s="193"/>
      <c r="J65" s="193"/>
      <c r="K65" s="185"/>
      <c r="L65" s="185"/>
      <c r="M65" s="192"/>
      <c r="N65" s="192"/>
      <c r="O65" s="192"/>
    </row>
    <row r="66" customFormat="false" ht="18.75" hidden="false" customHeight="true" outlineLevel="0" collapsed="false">
      <c r="A66" s="103"/>
      <c r="B66" s="194"/>
      <c r="C66" s="194"/>
      <c r="D66" s="192"/>
      <c r="E66" s="192"/>
      <c r="F66" s="67"/>
      <c r="G66" s="67"/>
      <c r="H66" s="193"/>
      <c r="I66" s="193"/>
      <c r="J66" s="193"/>
      <c r="K66" s="185"/>
      <c r="L66" s="185"/>
      <c r="M66" s="192"/>
      <c r="N66" s="192"/>
      <c r="O66" s="192"/>
    </row>
    <row r="67" customFormat="false" ht="18.75" hidden="false" customHeight="true" outlineLevel="0" collapsed="false">
      <c r="A67" s="103"/>
      <c r="B67" s="103"/>
      <c r="C67" s="103"/>
      <c r="D67" s="192"/>
      <c r="E67" s="192"/>
      <c r="F67" s="67"/>
      <c r="G67" s="67"/>
      <c r="H67" s="193"/>
      <c r="I67" s="193"/>
      <c r="J67" s="193"/>
      <c r="K67" s="185"/>
      <c r="L67" s="185"/>
      <c r="M67" s="192"/>
      <c r="N67" s="192"/>
      <c r="O67" s="192"/>
    </row>
    <row r="68" customFormat="false" ht="18.75" hidden="false" customHeight="true" outlineLevel="0" collapsed="false">
      <c r="A68" s="105" t="s">
        <v>63</v>
      </c>
      <c r="B68" s="36" t="s">
        <v>394</v>
      </c>
      <c r="C68" s="36"/>
      <c r="D68" s="36" t="s">
        <v>394</v>
      </c>
      <c r="E68" s="36"/>
      <c r="F68" s="36" t="s">
        <v>394</v>
      </c>
      <c r="G68" s="36"/>
      <c r="H68" s="195"/>
      <c r="I68" s="195"/>
      <c r="J68" s="195"/>
      <c r="K68" s="189" t="n">
        <f aca="false">SUM(K64:L67)</f>
        <v>0</v>
      </c>
      <c r="L68" s="189"/>
      <c r="M68" s="196"/>
      <c r="N68" s="196"/>
      <c r="O68" s="196"/>
    </row>
    <row r="69" customFormat="false" ht="18.75" hidden="false" customHeight="false" outlineLevel="0" collapsed="false">
      <c r="A69" s="9"/>
      <c r="B69" s="2"/>
      <c r="C69" s="2"/>
      <c r="D69" s="2"/>
      <c r="E69" s="2"/>
      <c r="F69" s="2"/>
      <c r="G69" s="2"/>
      <c r="H69" s="2"/>
      <c r="I69" s="2"/>
      <c r="J69" s="2"/>
      <c r="K69" s="1"/>
      <c r="L69" s="1"/>
      <c r="M69" s="1"/>
      <c r="N69" s="1"/>
      <c r="O69" s="1"/>
    </row>
    <row r="70" customFormat="false" ht="18.75" hidden="false" customHeight="true" outlineLevel="0" collapsed="false">
      <c r="A70" s="18" t="s">
        <v>395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customFormat="false" ht="15" hidden="false" customHeight="true" outlineLevel="0" collapsed="false">
      <c r="A71" s="18"/>
      <c r="B71" s="197"/>
      <c r="C71" s="18"/>
      <c r="D71" s="18"/>
      <c r="E71" s="18"/>
      <c r="F71" s="18"/>
      <c r="G71" s="18"/>
      <c r="H71" s="18"/>
      <c r="I71" s="198"/>
    </row>
    <row r="72" customFormat="false" ht="42.75" hidden="false" customHeight="true" outlineLevel="0" collapsed="false">
      <c r="A72" s="12" t="s">
        <v>396</v>
      </c>
      <c r="B72" s="12"/>
      <c r="C72" s="12"/>
      <c r="D72" s="12" t="s">
        <v>397</v>
      </c>
      <c r="E72" s="12"/>
      <c r="F72" s="12" t="s">
        <v>398</v>
      </c>
      <c r="G72" s="12"/>
      <c r="H72" s="12"/>
      <c r="I72" s="12"/>
      <c r="J72" s="12" t="s">
        <v>399</v>
      </c>
      <c r="K72" s="12"/>
      <c r="L72" s="12"/>
      <c r="M72" s="12"/>
      <c r="N72" s="12" t="s">
        <v>400</v>
      </c>
      <c r="O72" s="12"/>
    </row>
    <row r="73" customFormat="false" ht="42.75" hidden="false" customHeight="true" outlineLevel="0" collapsed="false">
      <c r="A73" s="12"/>
      <c r="B73" s="12"/>
      <c r="C73" s="12"/>
      <c r="D73" s="12"/>
      <c r="E73" s="12"/>
      <c r="F73" s="11" t="s">
        <v>401</v>
      </c>
      <c r="G73" s="11"/>
      <c r="H73" s="12" t="s">
        <v>16</v>
      </c>
      <c r="I73" s="12"/>
      <c r="J73" s="11" t="s">
        <v>401</v>
      </c>
      <c r="K73" s="11"/>
      <c r="L73" s="12" t="s">
        <v>16</v>
      </c>
      <c r="M73" s="12"/>
      <c r="N73" s="12"/>
      <c r="O73" s="12"/>
    </row>
    <row r="74" customFormat="false" ht="18.75" hidden="false" customHeight="true" outlineLevel="0" collapsed="false">
      <c r="A74" s="12" t="n">
        <v>1</v>
      </c>
      <c r="B74" s="12"/>
      <c r="C74" s="12"/>
      <c r="D74" s="12" t="n">
        <v>2</v>
      </c>
      <c r="E74" s="12"/>
      <c r="F74" s="12" t="n">
        <v>3</v>
      </c>
      <c r="G74" s="12"/>
      <c r="H74" s="11" t="n">
        <v>4</v>
      </c>
      <c r="I74" s="11"/>
      <c r="J74" s="11" t="n">
        <v>5</v>
      </c>
      <c r="K74" s="11"/>
      <c r="L74" s="11" t="n">
        <v>6</v>
      </c>
      <c r="M74" s="11"/>
      <c r="N74" s="11" t="n">
        <v>7</v>
      </c>
      <c r="O74" s="11"/>
    </row>
    <row r="75" customFormat="false" ht="20.1" hidden="false" customHeight="true" outlineLevel="0" collapsed="false">
      <c r="A75" s="29" t="s">
        <v>402</v>
      </c>
      <c r="B75" s="29"/>
      <c r="C75" s="29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7" t="n">
        <f aca="false">D75+H75-L75</f>
        <v>0</v>
      </c>
      <c r="O75" s="187"/>
    </row>
    <row r="76" customFormat="false" ht="20.1" hidden="false" customHeight="true" outlineLevel="0" collapsed="false">
      <c r="A76" s="29" t="s">
        <v>403</v>
      </c>
      <c r="B76" s="29"/>
      <c r="C76" s="29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</row>
    <row r="77" customFormat="false" ht="20.1" hidden="false" customHeight="true" outlineLevel="0" collapsed="false">
      <c r="A77" s="29"/>
      <c r="B77" s="29"/>
      <c r="C77" s="29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</row>
    <row r="78" customFormat="false" ht="20.1" hidden="false" customHeight="true" outlineLevel="0" collapsed="false">
      <c r="A78" s="29" t="s">
        <v>404</v>
      </c>
      <c r="B78" s="29"/>
      <c r="C78" s="29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7" t="n">
        <f aca="false">D78+H78-L78</f>
        <v>0</v>
      </c>
      <c r="O78" s="187"/>
    </row>
    <row r="79" customFormat="false" ht="20.1" hidden="false" customHeight="true" outlineLevel="0" collapsed="false">
      <c r="A79" s="29" t="s">
        <v>405</v>
      </c>
      <c r="B79" s="29"/>
      <c r="C79" s="29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</row>
    <row r="80" customFormat="false" ht="20.1" hidden="false" customHeight="true" outlineLevel="0" collapsed="false">
      <c r="A80" s="29"/>
      <c r="B80" s="29"/>
      <c r="C80" s="29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</row>
    <row r="81" customFormat="false" ht="20.1" hidden="false" customHeight="true" outlineLevel="0" collapsed="false">
      <c r="A81" s="29" t="s">
        <v>406</v>
      </c>
      <c r="B81" s="29"/>
      <c r="C81" s="29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7" t="n">
        <f aca="false">D81+H81-L81</f>
        <v>0</v>
      </c>
      <c r="O81" s="187"/>
    </row>
    <row r="82" customFormat="false" ht="20.1" hidden="false" customHeight="true" outlineLevel="0" collapsed="false">
      <c r="A82" s="29" t="s">
        <v>403</v>
      </c>
      <c r="B82" s="29"/>
      <c r="C82" s="29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</row>
    <row r="83" customFormat="false" ht="20.1" hidden="false" customHeight="true" outlineLevel="0" collapsed="false">
      <c r="A83" s="29"/>
      <c r="B83" s="29"/>
      <c r="C83" s="29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</row>
    <row r="84" customFormat="false" ht="24.95" hidden="false" customHeight="true" outlineLevel="0" collapsed="false">
      <c r="A84" s="31" t="s">
        <v>63</v>
      </c>
      <c r="B84" s="31"/>
      <c r="C84" s="31"/>
      <c r="D84" s="189" t="n">
        <f aca="false">SUM(D75,D78,D81)</f>
        <v>0</v>
      </c>
      <c r="E84" s="189"/>
      <c r="F84" s="189" t="n">
        <f aca="false">SUM(F75,F78,F81)</f>
        <v>0</v>
      </c>
      <c r="G84" s="189"/>
      <c r="H84" s="189" t="n">
        <f aca="false">SUM(H75,H78,H81)</f>
        <v>0</v>
      </c>
      <c r="I84" s="189"/>
      <c r="J84" s="189" t="n">
        <f aca="false">SUM(J75,J78,J81)</f>
        <v>0</v>
      </c>
      <c r="K84" s="189"/>
      <c r="L84" s="189" t="n">
        <f aca="false">SUM(L75,L78,L81)</f>
        <v>0</v>
      </c>
      <c r="M84" s="189"/>
      <c r="N84" s="189" t="n">
        <f aca="false">D84+H84-L84</f>
        <v>0</v>
      </c>
      <c r="O84" s="189"/>
    </row>
  </sheetData>
  <mergeCells count="336">
    <mergeCell ref="A1:O1"/>
    <mergeCell ref="A2:O2"/>
    <mergeCell ref="A3:O3"/>
    <mergeCell ref="A4:O4"/>
    <mergeCell ref="A5:O5"/>
    <mergeCell ref="A7:O7"/>
    <mergeCell ref="A9:B9"/>
    <mergeCell ref="C9:E9"/>
    <mergeCell ref="F9:H9"/>
    <mergeCell ref="I9:K9"/>
    <mergeCell ref="L9:M9"/>
    <mergeCell ref="N9:O9"/>
    <mergeCell ref="A10:B10"/>
    <mergeCell ref="C10:E10"/>
    <mergeCell ref="F10:H10"/>
    <mergeCell ref="I10:K10"/>
    <mergeCell ref="L10:M10"/>
    <mergeCell ref="N10:O10"/>
    <mergeCell ref="A11:B11"/>
    <mergeCell ref="C11:E11"/>
    <mergeCell ref="F11:H11"/>
    <mergeCell ref="I11:K11"/>
    <mergeCell ref="L11:M11"/>
    <mergeCell ref="N11:O11"/>
    <mergeCell ref="A12:B12"/>
    <mergeCell ref="C12:E12"/>
    <mergeCell ref="F12:H12"/>
    <mergeCell ref="I12:K12"/>
    <mergeCell ref="L12:M12"/>
    <mergeCell ref="N12:O12"/>
    <mergeCell ref="A13:B13"/>
    <mergeCell ref="C13:E13"/>
    <mergeCell ref="F13:H13"/>
    <mergeCell ref="I13:K13"/>
    <mergeCell ref="L13:M13"/>
    <mergeCell ref="N13:O13"/>
    <mergeCell ref="A14:B14"/>
    <mergeCell ref="C14:E14"/>
    <mergeCell ref="F14:H14"/>
    <mergeCell ref="I14:K14"/>
    <mergeCell ref="L14:M14"/>
    <mergeCell ref="N14:O14"/>
    <mergeCell ref="A15:B15"/>
    <mergeCell ref="C15:E15"/>
    <mergeCell ref="F15:H15"/>
    <mergeCell ref="I15:K15"/>
    <mergeCell ref="L15:M15"/>
    <mergeCell ref="N15:O15"/>
    <mergeCell ref="A16:B16"/>
    <mergeCell ref="C16:E16"/>
    <mergeCell ref="F16:H16"/>
    <mergeCell ref="I16:K16"/>
    <mergeCell ref="L16:M16"/>
    <mergeCell ref="N16:O16"/>
    <mergeCell ref="A17:B17"/>
    <mergeCell ref="C17:E17"/>
    <mergeCell ref="F17:H17"/>
    <mergeCell ref="I17:K17"/>
    <mergeCell ref="L17:M17"/>
    <mergeCell ref="N17:O17"/>
    <mergeCell ref="A18:B18"/>
    <mergeCell ref="C18:E18"/>
    <mergeCell ref="F18:H18"/>
    <mergeCell ref="I18:K18"/>
    <mergeCell ref="L18:M18"/>
    <mergeCell ref="N18:O18"/>
    <mergeCell ref="A19:B19"/>
    <mergeCell ref="C19:E19"/>
    <mergeCell ref="F19:H19"/>
    <mergeCell ref="I19:K19"/>
    <mergeCell ref="L19:M19"/>
    <mergeCell ref="N19:O19"/>
    <mergeCell ref="A20:B20"/>
    <mergeCell ref="C20:E20"/>
    <mergeCell ref="F20:H20"/>
    <mergeCell ref="I20:K20"/>
    <mergeCell ref="L20:M20"/>
    <mergeCell ref="N20:O20"/>
    <mergeCell ref="A21:B21"/>
    <mergeCell ref="C21:E21"/>
    <mergeCell ref="F21:H21"/>
    <mergeCell ref="I21:K21"/>
    <mergeCell ref="L21:M21"/>
    <mergeCell ref="N21:O21"/>
    <mergeCell ref="A22:B22"/>
    <mergeCell ref="C22:E22"/>
    <mergeCell ref="F22:H22"/>
    <mergeCell ref="I22:K22"/>
    <mergeCell ref="L22:M22"/>
    <mergeCell ref="N22:O22"/>
    <mergeCell ref="A23:B23"/>
    <mergeCell ref="C23:E23"/>
    <mergeCell ref="F23:H23"/>
    <mergeCell ref="I23:K23"/>
    <mergeCell ref="L23:M23"/>
    <mergeCell ref="N23:O23"/>
    <mergeCell ref="A24:B24"/>
    <mergeCell ref="C24:E24"/>
    <mergeCell ref="F24:H24"/>
    <mergeCell ref="I24:K24"/>
    <mergeCell ref="L24:M24"/>
    <mergeCell ref="N24:O24"/>
    <mergeCell ref="A25:B25"/>
    <mergeCell ref="C25:E25"/>
    <mergeCell ref="F25:H25"/>
    <mergeCell ref="I25:K25"/>
    <mergeCell ref="L25:M25"/>
    <mergeCell ref="N25:O25"/>
    <mergeCell ref="A26:B26"/>
    <mergeCell ref="C26:E26"/>
    <mergeCell ref="F26:H26"/>
    <mergeCell ref="I26:K26"/>
    <mergeCell ref="L26:M26"/>
    <mergeCell ref="N26:O26"/>
    <mergeCell ref="A27:B27"/>
    <mergeCell ref="C27:E27"/>
    <mergeCell ref="F27:H27"/>
    <mergeCell ref="I27:K27"/>
    <mergeCell ref="L27:M27"/>
    <mergeCell ref="N27:O27"/>
    <mergeCell ref="A28:B28"/>
    <mergeCell ref="C28:E28"/>
    <mergeCell ref="F28:H28"/>
    <mergeCell ref="I28:K28"/>
    <mergeCell ref="L28:M28"/>
    <mergeCell ref="N28:O28"/>
    <mergeCell ref="A29:B29"/>
    <mergeCell ref="C29:E29"/>
    <mergeCell ref="F29:H29"/>
    <mergeCell ref="I29:K29"/>
    <mergeCell ref="L29:M29"/>
    <mergeCell ref="N29:O29"/>
    <mergeCell ref="A30:B30"/>
    <mergeCell ref="C30:E30"/>
    <mergeCell ref="F30:H30"/>
    <mergeCell ref="I30:K30"/>
    <mergeCell ref="L30:M30"/>
    <mergeCell ref="N30:O30"/>
    <mergeCell ref="A31:B31"/>
    <mergeCell ref="C31:E31"/>
    <mergeCell ref="F31:H31"/>
    <mergeCell ref="I31:K31"/>
    <mergeCell ref="L31:M31"/>
    <mergeCell ref="N31:O31"/>
    <mergeCell ref="A32:B32"/>
    <mergeCell ref="C32:E32"/>
    <mergeCell ref="F32:H32"/>
    <mergeCell ref="I32:K32"/>
    <mergeCell ref="L32:M32"/>
    <mergeCell ref="N32:O32"/>
    <mergeCell ref="A33:B33"/>
    <mergeCell ref="C33:E33"/>
    <mergeCell ref="F33:H33"/>
    <mergeCell ref="I33:K33"/>
    <mergeCell ref="L33:M33"/>
    <mergeCell ref="N33:O33"/>
    <mergeCell ref="A34:B34"/>
    <mergeCell ref="C34:E34"/>
    <mergeCell ref="F34:H34"/>
    <mergeCell ref="I34:K34"/>
    <mergeCell ref="L34:M34"/>
    <mergeCell ref="N34:O34"/>
    <mergeCell ref="A35:B35"/>
    <mergeCell ref="C35:E35"/>
    <mergeCell ref="F35:H35"/>
    <mergeCell ref="I35:K35"/>
    <mergeCell ref="L35:M35"/>
    <mergeCell ref="N35:O35"/>
    <mergeCell ref="A36:B36"/>
    <mergeCell ref="C36:E36"/>
    <mergeCell ref="F36:H36"/>
    <mergeCell ref="I36:K36"/>
    <mergeCell ref="L36:M36"/>
    <mergeCell ref="N36:O36"/>
    <mergeCell ref="A37:B37"/>
    <mergeCell ref="C37:E37"/>
    <mergeCell ref="F37:H37"/>
    <mergeCell ref="I37:K37"/>
    <mergeCell ref="L37:M37"/>
    <mergeCell ref="N37:O37"/>
    <mergeCell ref="A39:O39"/>
    <mergeCell ref="A41:O41"/>
    <mergeCell ref="B43:E43"/>
    <mergeCell ref="F43:O43"/>
    <mergeCell ref="B44:E44"/>
    <mergeCell ref="F44:O44"/>
    <mergeCell ref="B45:E45"/>
    <mergeCell ref="F45:O45"/>
    <mergeCell ref="B46:E46"/>
    <mergeCell ref="F46:O46"/>
    <mergeCell ref="B47:E47"/>
    <mergeCell ref="F47:O47"/>
    <mergeCell ref="B48:E48"/>
    <mergeCell ref="F48:O48"/>
    <mergeCell ref="A49:J49"/>
    <mergeCell ref="A51:C52"/>
    <mergeCell ref="D51:F51"/>
    <mergeCell ref="G51:I51"/>
    <mergeCell ref="J51:L51"/>
    <mergeCell ref="M51:O51"/>
    <mergeCell ref="A53:C53"/>
    <mergeCell ref="A54:C54"/>
    <mergeCell ref="A55:C55"/>
    <mergeCell ref="A56:C56"/>
    <mergeCell ref="A57:C57"/>
    <mergeCell ref="A58:C58"/>
    <mergeCell ref="A60:O60"/>
    <mergeCell ref="B62:C62"/>
    <mergeCell ref="D62:E62"/>
    <mergeCell ref="F62:G62"/>
    <mergeCell ref="H62:J62"/>
    <mergeCell ref="K62:L62"/>
    <mergeCell ref="M62:O62"/>
    <mergeCell ref="B63:C63"/>
    <mergeCell ref="D63:E63"/>
    <mergeCell ref="F63:G63"/>
    <mergeCell ref="H63:J63"/>
    <mergeCell ref="K63:L63"/>
    <mergeCell ref="M63:O63"/>
    <mergeCell ref="B64:C64"/>
    <mergeCell ref="D64:E64"/>
    <mergeCell ref="F64:G64"/>
    <mergeCell ref="H64:J64"/>
    <mergeCell ref="K64:L64"/>
    <mergeCell ref="M64:O64"/>
    <mergeCell ref="B65:C65"/>
    <mergeCell ref="D65:E65"/>
    <mergeCell ref="F65:G65"/>
    <mergeCell ref="H65:J65"/>
    <mergeCell ref="K65:L65"/>
    <mergeCell ref="M65:O65"/>
    <mergeCell ref="B66:C66"/>
    <mergeCell ref="D66:E66"/>
    <mergeCell ref="F66:G66"/>
    <mergeCell ref="H66:J66"/>
    <mergeCell ref="K66:L66"/>
    <mergeCell ref="M66:O66"/>
    <mergeCell ref="B67:C67"/>
    <mergeCell ref="D67:E67"/>
    <mergeCell ref="F67:G67"/>
    <mergeCell ref="H67:J67"/>
    <mergeCell ref="K67:L67"/>
    <mergeCell ref="M67:O67"/>
    <mergeCell ref="B68:C68"/>
    <mergeCell ref="D68:E68"/>
    <mergeCell ref="F68:G68"/>
    <mergeCell ref="H68:J68"/>
    <mergeCell ref="K68:L68"/>
    <mergeCell ref="M68:O68"/>
    <mergeCell ref="A70:O70"/>
    <mergeCell ref="A72:C73"/>
    <mergeCell ref="D72:E73"/>
    <mergeCell ref="F72:I72"/>
    <mergeCell ref="J72:M72"/>
    <mergeCell ref="N72:O73"/>
    <mergeCell ref="F73:G73"/>
    <mergeCell ref="H73:I73"/>
    <mergeCell ref="J73:K73"/>
    <mergeCell ref="L73:M73"/>
    <mergeCell ref="A74:C74"/>
    <mergeCell ref="D74:E74"/>
    <mergeCell ref="F74:G74"/>
    <mergeCell ref="H74:I74"/>
    <mergeCell ref="J74:K74"/>
    <mergeCell ref="L74:M74"/>
    <mergeCell ref="N74:O74"/>
    <mergeCell ref="A75:C75"/>
    <mergeCell ref="D75:E75"/>
    <mergeCell ref="F75:G75"/>
    <mergeCell ref="H75:I75"/>
    <mergeCell ref="J75:K75"/>
    <mergeCell ref="L75:M75"/>
    <mergeCell ref="N75:O75"/>
    <mergeCell ref="A76:C76"/>
    <mergeCell ref="D76:E76"/>
    <mergeCell ref="F76:G76"/>
    <mergeCell ref="H76:I76"/>
    <mergeCell ref="J76:K76"/>
    <mergeCell ref="L76:M76"/>
    <mergeCell ref="N76:O76"/>
    <mergeCell ref="A77:C77"/>
    <mergeCell ref="D77:E77"/>
    <mergeCell ref="F77:G77"/>
    <mergeCell ref="H77:I77"/>
    <mergeCell ref="J77:K77"/>
    <mergeCell ref="L77:M77"/>
    <mergeCell ref="N77:O77"/>
    <mergeCell ref="A78:C78"/>
    <mergeCell ref="D78:E78"/>
    <mergeCell ref="F78:G78"/>
    <mergeCell ref="H78:I78"/>
    <mergeCell ref="J78:K78"/>
    <mergeCell ref="L78:M78"/>
    <mergeCell ref="N78:O78"/>
    <mergeCell ref="A79:C79"/>
    <mergeCell ref="D79:E79"/>
    <mergeCell ref="F79:G79"/>
    <mergeCell ref="H79:I79"/>
    <mergeCell ref="J79:K79"/>
    <mergeCell ref="L79:M79"/>
    <mergeCell ref="N79:O79"/>
    <mergeCell ref="A80:C80"/>
    <mergeCell ref="D80:E80"/>
    <mergeCell ref="F80:G80"/>
    <mergeCell ref="H80:I80"/>
    <mergeCell ref="J80:K80"/>
    <mergeCell ref="L80:M80"/>
    <mergeCell ref="N80:O80"/>
    <mergeCell ref="A81:C81"/>
    <mergeCell ref="D81:E81"/>
    <mergeCell ref="F81:G81"/>
    <mergeCell ref="H81:I81"/>
    <mergeCell ref="J81:K81"/>
    <mergeCell ref="L81:M81"/>
    <mergeCell ref="N81:O81"/>
    <mergeCell ref="A82:C82"/>
    <mergeCell ref="D82:E82"/>
    <mergeCell ref="F82:G82"/>
    <mergeCell ref="H82:I82"/>
    <mergeCell ref="J82:K82"/>
    <mergeCell ref="L82:M82"/>
    <mergeCell ref="N82:O82"/>
    <mergeCell ref="A83:C83"/>
    <mergeCell ref="D83:E83"/>
    <mergeCell ref="F83:G83"/>
    <mergeCell ref="H83:I83"/>
    <mergeCell ref="J83:K83"/>
    <mergeCell ref="L83:M83"/>
    <mergeCell ref="N83:O83"/>
    <mergeCell ref="A84:C84"/>
    <mergeCell ref="D84:E84"/>
    <mergeCell ref="F84:G84"/>
    <mergeCell ref="H84:I84"/>
    <mergeCell ref="J84:K84"/>
    <mergeCell ref="L84:M84"/>
    <mergeCell ref="N84:O84"/>
  </mergeCells>
  <printOptions headings="false" gridLines="false" gridLinesSet="true" horizontalCentered="false" verticalCentered="false"/>
  <pageMargins left="0.590277777777778" right="0.590277777777778" top="0.7875" bottom="0.7875" header="0.315277777777778" footer="0.511805555555555"/>
  <pageSetup paperSize="9" scale="4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Roman,Обычный"&amp;16 &amp;14 13&amp;R&amp;"Times New Roman,Обычный"&amp;14Продовження додатка 3
Таблиця 6  </oddHeader>
    <oddFooter/>
  </headerFooter>
  <rowBreaks count="1" manualBreakCount="1">
    <brk id="48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AF68"/>
  <sheetViews>
    <sheetView windowProtection="false" showFormulas="false" showGridLines="true" showRowColHeaders="true" showZeros="true" rightToLeft="false" tabSelected="false" showOutlineSymbols="true" defaultGridColor="true" view="normal" topLeftCell="A46" colorId="64" zoomScale="75" zoomScaleNormal="75" zoomScalePageLayoutView="44" workbookViewId="0">
      <selection pane="topLeft" activeCell="V36" activeCellId="0" sqref="V36"/>
    </sheetView>
  </sheetViews>
  <sheetFormatPr defaultRowHeight="18.75"/>
  <cols>
    <col collapsed="false" hidden="false" max="1" min="1" style="97" width="7.83163265306122"/>
    <col collapsed="false" hidden="false" max="2" min="2" style="97" width="4.4030612244898"/>
    <col collapsed="false" hidden="false" max="3" min="3" style="97" width="25.2448979591837"/>
    <col collapsed="false" hidden="false" max="6" min="4" style="97" width="8.39795918367347"/>
    <col collapsed="false" hidden="false" max="7" min="7" style="97" width="9.96938775510204"/>
    <col collapsed="false" hidden="false" max="9" min="8" style="97" width="11.2602040816327"/>
    <col collapsed="false" hidden="false" max="10" min="10" style="97" width="8.68367346938776"/>
    <col collapsed="false" hidden="false" max="11" min="11" style="97" width="6.97448979591837"/>
    <col collapsed="false" hidden="false" max="12" min="12" style="97" width="8.97448979591837"/>
    <col collapsed="false" hidden="false" max="13" min="13" style="97" width="12.2551020408163"/>
    <col collapsed="false" hidden="false" max="14" min="14" style="97" width="12.5357142857143"/>
    <col collapsed="false" hidden="false" max="15" min="15" style="97" width="14.5357142857143"/>
    <col collapsed="false" hidden="false" max="16" min="16" style="97" width="13.969387755102"/>
    <col collapsed="false" hidden="false" max="17" min="17" style="97" width="12.5357142857143"/>
    <col collapsed="false" hidden="false" max="18" min="18" style="97" width="12.2551020408163"/>
    <col collapsed="false" hidden="false" max="19" min="19" style="97" width="14.5357142857143"/>
    <col collapsed="false" hidden="false" max="20" min="20" style="97" width="13.969387755102"/>
    <col collapsed="false" hidden="false" max="21" min="21" style="97" width="12.5357142857143"/>
    <col collapsed="false" hidden="false" max="22" min="22" style="97" width="12.2551020408163"/>
    <col collapsed="false" hidden="false" max="23" min="23" style="97" width="14.8214285714286"/>
    <col collapsed="false" hidden="false" max="24" min="24" style="97" width="13.969387755102"/>
    <col collapsed="false" hidden="false" max="25" min="25" style="97" width="12.5357142857143"/>
    <col collapsed="false" hidden="false" max="26" min="26" style="97" width="12.2551020408163"/>
    <col collapsed="false" hidden="false" max="27" min="27" style="97" width="14.5357142857143"/>
    <col collapsed="false" hidden="false" max="28" min="28" style="97" width="13.6785714285714"/>
    <col collapsed="false" hidden="false" max="29" min="29" style="97" width="12.2551020408163"/>
    <col collapsed="false" hidden="false" max="30" min="30" style="97" width="11.969387755102"/>
    <col collapsed="false" hidden="false" max="31" min="31" style="97" width="14.5357142857143"/>
    <col collapsed="false" hidden="false" max="32" min="32" style="97" width="13.969387755102"/>
    <col collapsed="false" hidden="false" max="257" min="33" style="97" width="9.11734693877551"/>
    <col collapsed="false" hidden="false" max="1025" min="258" style="0" width="9.11734693877551"/>
  </cols>
  <sheetData>
    <row r="1" customFormat="false" ht="18.75" hidden="false" customHeight="true" outlineLevel="0" collapsed="false">
      <c r="C1" s="199" t="s">
        <v>407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</row>
    <row r="2" customFormat="false" ht="18.75" hidden="false" customHeight="false" outlineLevel="0" collapsed="false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</row>
    <row r="3" customFormat="false" ht="45.75" hidden="false" customHeight="true" outlineLevel="0" collapsed="false">
      <c r="A3" s="121" t="s">
        <v>408</v>
      </c>
      <c r="B3" s="121" t="s">
        <v>409</v>
      </c>
      <c r="C3" s="121"/>
      <c r="D3" s="201" t="s">
        <v>410</v>
      </c>
      <c r="E3" s="201"/>
      <c r="F3" s="201"/>
      <c r="G3" s="12" t="s">
        <v>411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1" t="s">
        <v>412</v>
      </c>
      <c r="S3" s="11"/>
      <c r="T3" s="11"/>
      <c r="U3" s="11"/>
      <c r="V3" s="11"/>
      <c r="W3" s="11"/>
      <c r="X3" s="11"/>
      <c r="Y3" s="11"/>
      <c r="Z3" s="11"/>
      <c r="AA3" s="12" t="s">
        <v>413</v>
      </c>
      <c r="AB3" s="12"/>
      <c r="AC3" s="12"/>
      <c r="AD3" s="12" t="s">
        <v>414</v>
      </c>
      <c r="AE3" s="12"/>
      <c r="AF3" s="12"/>
    </row>
    <row r="4" customFormat="false" ht="77.25" hidden="false" customHeight="true" outlineLevel="0" collapsed="false">
      <c r="A4" s="121"/>
      <c r="B4" s="121"/>
      <c r="C4" s="121"/>
      <c r="D4" s="201"/>
      <c r="E4" s="201"/>
      <c r="F4" s="20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415</v>
      </c>
      <c r="S4" s="12"/>
      <c r="T4" s="12"/>
      <c r="U4" s="12" t="s">
        <v>416</v>
      </c>
      <c r="V4" s="12"/>
      <c r="W4" s="12"/>
      <c r="X4" s="12" t="s">
        <v>417</v>
      </c>
      <c r="Y4" s="12"/>
      <c r="Z4" s="12"/>
      <c r="AA4" s="12"/>
      <c r="AB4" s="12"/>
      <c r="AC4" s="12"/>
      <c r="AD4" s="12"/>
      <c r="AE4" s="12"/>
      <c r="AF4" s="12"/>
    </row>
    <row r="5" customFormat="false" ht="18.75" hidden="false" customHeight="true" outlineLevel="0" collapsed="false">
      <c r="A5" s="202" t="n">
        <v>1</v>
      </c>
      <c r="B5" s="203" t="n">
        <v>2</v>
      </c>
      <c r="C5" s="203"/>
      <c r="D5" s="204" t="n">
        <v>3</v>
      </c>
      <c r="E5" s="204"/>
      <c r="F5" s="204"/>
      <c r="G5" s="205" t="n">
        <v>4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 t="n">
        <v>5</v>
      </c>
      <c r="S5" s="205"/>
      <c r="T5" s="205"/>
      <c r="U5" s="205" t="n">
        <v>6</v>
      </c>
      <c r="V5" s="205"/>
      <c r="W5" s="205"/>
      <c r="X5" s="206" t="n">
        <v>7</v>
      </c>
      <c r="Y5" s="206"/>
      <c r="Z5" s="206"/>
      <c r="AA5" s="206" t="n">
        <v>8</v>
      </c>
      <c r="AB5" s="206"/>
      <c r="AC5" s="206"/>
      <c r="AD5" s="206" t="n">
        <v>9</v>
      </c>
      <c r="AE5" s="206"/>
      <c r="AF5" s="206"/>
    </row>
    <row r="6" customFormat="false" ht="20.1" hidden="false" customHeight="true" outlineLevel="0" collapsed="false">
      <c r="A6" s="202"/>
      <c r="B6" s="202"/>
      <c r="C6" s="202"/>
      <c r="D6" s="207"/>
      <c r="E6" s="207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185" t="n">
        <f aca="false">-109</f>
        <v>-109</v>
      </c>
      <c r="S6" s="185"/>
      <c r="T6" s="185"/>
      <c r="U6" s="185" t="n">
        <f aca="false">-66</f>
        <v>-66</v>
      </c>
      <c r="V6" s="185"/>
      <c r="W6" s="185"/>
      <c r="X6" s="185" t="n">
        <f aca="false">-100</f>
        <v>-100</v>
      </c>
      <c r="Y6" s="185"/>
      <c r="Z6" s="185"/>
      <c r="AA6" s="185" t="n">
        <f aca="false">X6-U6</f>
        <v>-34</v>
      </c>
      <c r="AB6" s="185"/>
      <c r="AC6" s="185"/>
      <c r="AD6" s="186" t="n">
        <f aca="false">(X6/U6)*100</f>
        <v>151.515151515152</v>
      </c>
      <c r="AE6" s="186"/>
      <c r="AF6" s="186"/>
    </row>
    <row r="7" customFormat="false" ht="20.1" hidden="false" customHeight="true" outlineLevel="0" collapsed="false">
      <c r="A7" s="202"/>
      <c r="B7" s="202"/>
      <c r="C7" s="202"/>
      <c r="D7" s="207"/>
      <c r="E7" s="207"/>
      <c r="F7" s="207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185"/>
      <c r="S7" s="185"/>
      <c r="T7" s="185"/>
      <c r="U7" s="185"/>
      <c r="V7" s="185"/>
      <c r="W7" s="185"/>
      <c r="X7" s="185"/>
      <c r="Y7" s="185"/>
      <c r="Z7" s="185"/>
      <c r="AA7" s="185" t="n">
        <f aca="false">X7-U7</f>
        <v>0</v>
      </c>
      <c r="AB7" s="185"/>
      <c r="AC7" s="185"/>
      <c r="AD7" s="186" t="e">
        <f aca="false">(X7/U7)*100</f>
        <v>#DIV/0!</v>
      </c>
      <c r="AE7" s="186"/>
      <c r="AF7" s="186"/>
    </row>
    <row r="8" customFormat="false" ht="20.1" hidden="false" customHeight="true" outlineLevel="0" collapsed="false">
      <c r="A8" s="202"/>
      <c r="B8" s="202"/>
      <c r="C8" s="202"/>
      <c r="D8" s="207"/>
      <c r="E8" s="207"/>
      <c r="F8" s="207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185"/>
      <c r="S8" s="185"/>
      <c r="T8" s="185"/>
      <c r="U8" s="185"/>
      <c r="V8" s="185"/>
      <c r="W8" s="185"/>
      <c r="X8" s="185"/>
      <c r="Y8" s="185"/>
      <c r="Z8" s="185"/>
      <c r="AA8" s="185" t="n">
        <f aca="false">X8-U8</f>
        <v>0</v>
      </c>
      <c r="AB8" s="185"/>
      <c r="AC8" s="185"/>
      <c r="AD8" s="186" t="e">
        <f aca="false">(X8/U8)*100</f>
        <v>#DIV/0!</v>
      </c>
      <c r="AE8" s="186"/>
      <c r="AF8" s="186"/>
    </row>
    <row r="9" customFormat="false" ht="20.1" hidden="false" customHeight="true" outlineLevel="0" collapsed="false">
      <c r="A9" s="202"/>
      <c r="B9" s="202"/>
      <c r="C9" s="202"/>
      <c r="D9" s="207"/>
      <c r="E9" s="207"/>
      <c r="F9" s="207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185"/>
      <c r="S9" s="185"/>
      <c r="T9" s="185"/>
      <c r="U9" s="185"/>
      <c r="V9" s="185"/>
      <c r="W9" s="185"/>
      <c r="X9" s="185"/>
      <c r="Y9" s="185"/>
      <c r="Z9" s="185"/>
      <c r="AA9" s="185" t="n">
        <f aca="false">X9-U9</f>
        <v>0</v>
      </c>
      <c r="AB9" s="185"/>
      <c r="AC9" s="185"/>
      <c r="AD9" s="186" t="e">
        <f aca="false">(X9/U9)*100</f>
        <v>#DIV/0!</v>
      </c>
      <c r="AE9" s="186"/>
      <c r="AF9" s="186"/>
    </row>
    <row r="10" customFormat="false" ht="24.95" hidden="false" customHeight="true" outlineLevel="0" collapsed="false">
      <c r="A10" s="209" t="s">
        <v>63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189" t="n">
        <f aca="false">SUM(R6:R9)</f>
        <v>-109</v>
      </c>
      <c r="S10" s="189"/>
      <c r="T10" s="189"/>
      <c r="U10" s="189" t="n">
        <f aca="false">SUM(U6:U9)</f>
        <v>-66</v>
      </c>
      <c r="V10" s="189"/>
      <c r="W10" s="189"/>
      <c r="X10" s="189" t="n">
        <f aca="false">SUM(X6:X9)</f>
        <v>-100</v>
      </c>
      <c r="Y10" s="189"/>
      <c r="Z10" s="189"/>
      <c r="AA10" s="185" t="n">
        <f aca="false">X10-U10</f>
        <v>-34</v>
      </c>
      <c r="AB10" s="185"/>
      <c r="AC10" s="185"/>
      <c r="AD10" s="186" t="n">
        <f aca="false">(X10/U10)*100</f>
        <v>151.515151515152</v>
      </c>
      <c r="AE10" s="186"/>
      <c r="AF10" s="186"/>
    </row>
    <row r="11" customFormat="false" ht="11.25" hidden="false" customHeight="true" outlineLevel="0" collapsed="false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210"/>
      <c r="AF11" s="210"/>
    </row>
    <row r="12" customFormat="false" ht="10.5" hidden="false" customHeight="true" outlineLevel="0" collapsed="false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2"/>
      <c r="O12" s="212"/>
      <c r="P12" s="212"/>
      <c r="Q12" s="212"/>
      <c r="R12" s="213"/>
      <c r="S12" s="213"/>
      <c r="T12" s="213"/>
      <c r="U12" s="213"/>
      <c r="V12" s="213"/>
      <c r="W12" s="213"/>
      <c r="X12" s="214"/>
      <c r="Y12" s="214"/>
      <c r="Z12" s="214"/>
      <c r="AA12" s="214"/>
      <c r="AB12" s="214"/>
      <c r="AC12" s="214"/>
      <c r="AD12" s="214"/>
      <c r="AE12" s="215"/>
      <c r="AF12" s="215"/>
    </row>
    <row r="13" s="199" customFormat="true" ht="18.75" hidden="false" customHeight="true" outlineLevel="0" collapsed="false">
      <c r="C13" s="199" t="s">
        <v>418</v>
      </c>
    </row>
    <row r="14" s="199" customFormat="true" ht="18.75" hidden="false" customHeight="true" outlineLevel="0" collapsed="false"/>
    <row r="15" customFormat="false" ht="45.75" hidden="false" customHeight="true" outlineLevel="0" collapsed="false">
      <c r="A15" s="121" t="s">
        <v>408</v>
      </c>
      <c r="B15" s="121" t="s">
        <v>419</v>
      </c>
      <c r="C15" s="121"/>
      <c r="D15" s="12" t="s">
        <v>409</v>
      </c>
      <c r="E15" s="12"/>
      <c r="F15" s="12"/>
      <c r="G15" s="12"/>
      <c r="H15" s="12" t="s">
        <v>411</v>
      </c>
      <c r="I15" s="12"/>
      <c r="J15" s="12"/>
      <c r="K15" s="12"/>
      <c r="L15" s="12"/>
      <c r="M15" s="12"/>
      <c r="N15" s="12"/>
      <c r="O15" s="12"/>
      <c r="P15" s="12" t="s">
        <v>420</v>
      </c>
      <c r="Q15" s="12"/>
      <c r="R15" s="11" t="s">
        <v>412</v>
      </c>
      <c r="S15" s="11"/>
      <c r="T15" s="11"/>
      <c r="U15" s="11"/>
      <c r="V15" s="11"/>
      <c r="W15" s="11"/>
      <c r="X15" s="11"/>
      <c r="Y15" s="11"/>
      <c r="Z15" s="11"/>
      <c r="AA15" s="12" t="s">
        <v>413</v>
      </c>
      <c r="AB15" s="12"/>
      <c r="AC15" s="12"/>
      <c r="AD15" s="12" t="s">
        <v>414</v>
      </c>
      <c r="AE15" s="12"/>
      <c r="AF15" s="12"/>
    </row>
    <row r="16" customFormat="false" ht="24.95" hidden="false" customHeight="true" outlineLevel="0" collapsed="false">
      <c r="A16" s="121"/>
      <c r="B16" s="121"/>
      <c r="C16" s="12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 t="s">
        <v>415</v>
      </c>
      <c r="S16" s="12"/>
      <c r="T16" s="12"/>
      <c r="U16" s="12" t="s">
        <v>416</v>
      </c>
      <c r="V16" s="12"/>
      <c r="W16" s="12"/>
      <c r="X16" s="12" t="s">
        <v>417</v>
      </c>
      <c r="Y16" s="12"/>
      <c r="Z16" s="12"/>
      <c r="AA16" s="12"/>
      <c r="AB16" s="12"/>
      <c r="AC16" s="12"/>
      <c r="AD16" s="12"/>
      <c r="AE16" s="12"/>
      <c r="AF16" s="12"/>
    </row>
    <row r="17" customFormat="false" ht="48" hidden="false" customHeight="true" outlineLevel="0" collapsed="false">
      <c r="A17" s="121"/>
      <c r="B17" s="121"/>
      <c r="C17" s="12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customFormat="false" ht="18.75" hidden="false" customHeight="true" outlineLevel="0" collapsed="false">
      <c r="A18" s="203" t="n">
        <v>1</v>
      </c>
      <c r="B18" s="203" t="n">
        <v>2</v>
      </c>
      <c r="C18" s="203"/>
      <c r="D18" s="205" t="n">
        <v>3</v>
      </c>
      <c r="E18" s="205"/>
      <c r="F18" s="205"/>
      <c r="G18" s="205"/>
      <c r="H18" s="205" t="n">
        <v>4</v>
      </c>
      <c r="I18" s="205"/>
      <c r="J18" s="205"/>
      <c r="K18" s="205"/>
      <c r="L18" s="205"/>
      <c r="M18" s="205"/>
      <c r="N18" s="205"/>
      <c r="O18" s="205"/>
      <c r="P18" s="205" t="n">
        <v>5</v>
      </c>
      <c r="Q18" s="205"/>
      <c r="R18" s="205" t="n">
        <v>6</v>
      </c>
      <c r="S18" s="205"/>
      <c r="T18" s="205"/>
      <c r="U18" s="205" t="n">
        <v>7</v>
      </c>
      <c r="V18" s="205"/>
      <c r="W18" s="205"/>
      <c r="X18" s="205" t="n">
        <v>8</v>
      </c>
      <c r="Y18" s="205"/>
      <c r="Z18" s="205"/>
      <c r="AA18" s="205" t="n">
        <v>9</v>
      </c>
      <c r="AB18" s="205"/>
      <c r="AC18" s="205"/>
      <c r="AD18" s="205" t="n">
        <v>10</v>
      </c>
      <c r="AE18" s="205"/>
      <c r="AF18" s="205"/>
    </row>
    <row r="19" customFormat="false" ht="20.1" hidden="false" customHeight="true" outlineLevel="0" collapsed="false">
      <c r="A19" s="216"/>
      <c r="B19" s="216"/>
      <c r="C19" s="216"/>
      <c r="D19" s="208"/>
      <c r="E19" s="208"/>
      <c r="F19" s="208"/>
      <c r="G19" s="208"/>
      <c r="H19" s="217"/>
      <c r="I19" s="217"/>
      <c r="J19" s="217"/>
      <c r="K19" s="217"/>
      <c r="L19" s="217"/>
      <c r="M19" s="217"/>
      <c r="N19" s="217"/>
      <c r="O19" s="217"/>
      <c r="P19" s="218"/>
      <c r="Q19" s="218"/>
      <c r="R19" s="185" t="n">
        <v>3</v>
      </c>
      <c r="S19" s="185"/>
      <c r="T19" s="185"/>
      <c r="U19" s="185" t="n">
        <v>3</v>
      </c>
      <c r="V19" s="185"/>
      <c r="W19" s="185"/>
      <c r="X19" s="185" t="n">
        <v>3</v>
      </c>
      <c r="Y19" s="185"/>
      <c r="Z19" s="185"/>
      <c r="AA19" s="185" t="n">
        <f aca="false">X19-U19</f>
        <v>0</v>
      </c>
      <c r="AB19" s="185"/>
      <c r="AC19" s="185"/>
      <c r="AD19" s="186" t="n">
        <f aca="false">(X19/U19)*100</f>
        <v>100</v>
      </c>
      <c r="AE19" s="186"/>
      <c r="AF19" s="186"/>
    </row>
    <row r="20" customFormat="false" ht="20.1" hidden="false" customHeight="true" outlineLevel="0" collapsed="false">
      <c r="A20" s="216"/>
      <c r="B20" s="216"/>
      <c r="C20" s="216"/>
      <c r="D20" s="208"/>
      <c r="E20" s="208"/>
      <c r="F20" s="208"/>
      <c r="G20" s="208"/>
      <c r="H20" s="217"/>
      <c r="I20" s="217"/>
      <c r="J20" s="217"/>
      <c r="K20" s="217"/>
      <c r="L20" s="217"/>
      <c r="M20" s="217"/>
      <c r="N20" s="217"/>
      <c r="O20" s="217"/>
      <c r="P20" s="218"/>
      <c r="Q20" s="218"/>
      <c r="R20" s="185"/>
      <c r="S20" s="185"/>
      <c r="T20" s="185"/>
      <c r="U20" s="185"/>
      <c r="V20" s="185"/>
      <c r="W20" s="185"/>
      <c r="X20" s="185"/>
      <c r="Y20" s="185"/>
      <c r="Z20" s="185"/>
      <c r="AA20" s="185" t="n">
        <f aca="false">X20-U20</f>
        <v>0</v>
      </c>
      <c r="AB20" s="185"/>
      <c r="AC20" s="185"/>
      <c r="AD20" s="186" t="e">
        <f aca="false">(X20/U20)*100</f>
        <v>#DIV/0!</v>
      </c>
      <c r="AE20" s="186"/>
      <c r="AF20" s="186"/>
    </row>
    <row r="21" customFormat="false" ht="20.1" hidden="false" customHeight="true" outlineLevel="0" collapsed="false">
      <c r="A21" s="216"/>
      <c r="B21" s="216"/>
      <c r="C21" s="216"/>
      <c r="D21" s="208"/>
      <c r="E21" s="208"/>
      <c r="F21" s="208"/>
      <c r="G21" s="208"/>
      <c r="H21" s="217"/>
      <c r="I21" s="217"/>
      <c r="J21" s="217"/>
      <c r="K21" s="217"/>
      <c r="L21" s="217"/>
      <c r="M21" s="217"/>
      <c r="N21" s="217"/>
      <c r="O21" s="217"/>
      <c r="P21" s="218"/>
      <c r="Q21" s="218"/>
      <c r="R21" s="185"/>
      <c r="S21" s="185"/>
      <c r="T21" s="185"/>
      <c r="U21" s="185"/>
      <c r="V21" s="185"/>
      <c r="W21" s="185"/>
      <c r="X21" s="185"/>
      <c r="Y21" s="185"/>
      <c r="Z21" s="185"/>
      <c r="AA21" s="185" t="n">
        <f aca="false">X21-U21</f>
        <v>0</v>
      </c>
      <c r="AB21" s="185"/>
      <c r="AC21" s="185"/>
      <c r="AD21" s="186" t="e">
        <f aca="false">(X21/U21)*100</f>
        <v>#DIV/0!</v>
      </c>
      <c r="AE21" s="186"/>
      <c r="AF21" s="186"/>
    </row>
    <row r="22" customFormat="false" ht="20.1" hidden="false" customHeight="true" outlineLevel="0" collapsed="false">
      <c r="A22" s="216"/>
      <c r="B22" s="216"/>
      <c r="C22" s="216"/>
      <c r="D22" s="208"/>
      <c r="E22" s="208"/>
      <c r="F22" s="208"/>
      <c r="G22" s="208"/>
      <c r="H22" s="217"/>
      <c r="I22" s="217"/>
      <c r="J22" s="217"/>
      <c r="K22" s="217"/>
      <c r="L22" s="217"/>
      <c r="M22" s="217"/>
      <c r="N22" s="217"/>
      <c r="O22" s="217"/>
      <c r="P22" s="218"/>
      <c r="Q22" s="218"/>
      <c r="R22" s="185"/>
      <c r="S22" s="185"/>
      <c r="T22" s="185"/>
      <c r="U22" s="185"/>
      <c r="V22" s="185"/>
      <c r="W22" s="185"/>
      <c r="X22" s="185"/>
      <c r="Y22" s="185"/>
      <c r="Z22" s="185"/>
      <c r="AA22" s="185" t="n">
        <f aca="false">X22-U22</f>
        <v>0</v>
      </c>
      <c r="AB22" s="185"/>
      <c r="AC22" s="185"/>
      <c r="AD22" s="186" t="e">
        <f aca="false">(X22/U22)*100</f>
        <v>#DIV/0!</v>
      </c>
      <c r="AE22" s="186"/>
      <c r="AF22" s="186"/>
    </row>
    <row r="23" customFormat="false" ht="24.95" hidden="false" customHeight="true" outlineLevel="0" collapsed="false">
      <c r="A23" s="209" t="s">
        <v>63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189" t="n">
        <f aca="false">SUM(R19:R22)</f>
        <v>3</v>
      </c>
      <c r="S23" s="189"/>
      <c r="T23" s="189"/>
      <c r="U23" s="189" t="n">
        <f aca="false">SUM(U19:U22)</f>
        <v>3</v>
      </c>
      <c r="V23" s="189"/>
      <c r="W23" s="189"/>
      <c r="X23" s="189" t="n">
        <f aca="false">SUM(X19:X22)</f>
        <v>3</v>
      </c>
      <c r="Y23" s="189"/>
      <c r="Z23" s="189"/>
      <c r="AA23" s="185" t="n">
        <f aca="false">X23-U23</f>
        <v>0</v>
      </c>
      <c r="AB23" s="185"/>
      <c r="AC23" s="185"/>
      <c r="AD23" s="186" t="n">
        <f aca="false">(X23/U23)*100</f>
        <v>100</v>
      </c>
      <c r="AE23" s="186"/>
      <c r="AF23" s="186"/>
    </row>
    <row r="24" customFormat="false" ht="18.7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19"/>
      <c r="S24" s="219"/>
      <c r="T24" s="219"/>
      <c r="U24" s="219"/>
      <c r="V24" s="219"/>
      <c r="AF24" s="219"/>
    </row>
    <row r="25" customFormat="false" ht="16.5" hidden="false" customHeight="tru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219"/>
      <c r="S25" s="219"/>
      <c r="T25" s="219"/>
      <c r="U25" s="219"/>
      <c r="V25" s="219"/>
      <c r="AF25" s="219"/>
    </row>
    <row r="26" s="199" customFormat="true" ht="18.75" hidden="false" customHeight="true" outlineLevel="0" collapsed="false">
      <c r="C26" s="199" t="s">
        <v>421</v>
      </c>
    </row>
    <row r="27" customFormat="false" ht="18.75" hidden="false" customHeight="false" outlineLevel="0" collapsed="false">
      <c r="A27" s="220"/>
      <c r="B27" s="220"/>
      <c r="C27" s="220"/>
      <c r="D27" s="220"/>
      <c r="E27" s="220"/>
      <c r="F27" s="220"/>
      <c r="G27" s="220"/>
      <c r="H27" s="220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0"/>
      <c r="Z27" s="222"/>
      <c r="AA27" s="222"/>
      <c r="AB27" s="222"/>
      <c r="AD27" s="223" t="s">
        <v>422</v>
      </c>
      <c r="AE27" s="223"/>
      <c r="AF27" s="223"/>
    </row>
    <row r="28" customFormat="false" ht="24.95" hidden="false" customHeight="true" outlineLevel="0" collapsed="false">
      <c r="A28" s="121" t="s">
        <v>408</v>
      </c>
      <c r="B28" s="121" t="s">
        <v>423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224" t="s">
        <v>424</v>
      </c>
      <c r="N28" s="224"/>
      <c r="O28" s="224"/>
      <c r="P28" s="224"/>
      <c r="Q28" s="224" t="s">
        <v>425</v>
      </c>
      <c r="R28" s="224"/>
      <c r="S28" s="224"/>
      <c r="T28" s="224"/>
      <c r="U28" s="224" t="s">
        <v>426</v>
      </c>
      <c r="V28" s="224"/>
      <c r="W28" s="224"/>
      <c r="X28" s="224"/>
      <c r="Y28" s="224" t="s">
        <v>427</v>
      </c>
      <c r="Z28" s="224"/>
      <c r="AA28" s="224"/>
      <c r="AB28" s="224"/>
      <c r="AC28" s="224" t="s">
        <v>63</v>
      </c>
      <c r="AD28" s="224"/>
      <c r="AE28" s="224"/>
      <c r="AF28" s="224"/>
    </row>
    <row r="29" customFormat="false" ht="24.95" hidden="false" customHeight="true" outlineLevel="0" collapsed="false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224" t="s">
        <v>401</v>
      </c>
      <c r="N29" s="224" t="s">
        <v>16</v>
      </c>
      <c r="O29" s="224" t="s">
        <v>17</v>
      </c>
      <c r="P29" s="224" t="s">
        <v>18</v>
      </c>
      <c r="Q29" s="224" t="s">
        <v>401</v>
      </c>
      <c r="R29" s="224" t="s">
        <v>16</v>
      </c>
      <c r="S29" s="224" t="s">
        <v>17</v>
      </c>
      <c r="T29" s="224" t="s">
        <v>18</v>
      </c>
      <c r="U29" s="224" t="s">
        <v>401</v>
      </c>
      <c r="V29" s="224" t="s">
        <v>16</v>
      </c>
      <c r="W29" s="224" t="s">
        <v>17</v>
      </c>
      <c r="X29" s="224" t="s">
        <v>18</v>
      </c>
      <c r="Y29" s="224" t="s">
        <v>401</v>
      </c>
      <c r="Z29" s="224" t="s">
        <v>16</v>
      </c>
      <c r="AA29" s="224" t="s">
        <v>17</v>
      </c>
      <c r="AB29" s="224" t="s">
        <v>18</v>
      </c>
      <c r="AC29" s="224" t="s">
        <v>401</v>
      </c>
      <c r="AD29" s="224" t="s">
        <v>16</v>
      </c>
      <c r="AE29" s="224" t="s">
        <v>17</v>
      </c>
      <c r="AF29" s="224" t="s">
        <v>18</v>
      </c>
    </row>
    <row r="30" customFormat="false" ht="24.95" hidden="false" customHeight="true" outlineLevel="0" collapsed="false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</row>
    <row r="31" customFormat="false" ht="18.75" hidden="false" customHeight="true" outlineLevel="0" collapsed="false">
      <c r="A31" s="225" t="n">
        <v>1</v>
      </c>
      <c r="B31" s="225" t="n">
        <v>2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192" t="n">
        <v>3</v>
      </c>
      <c r="N31" s="192" t="n">
        <v>4</v>
      </c>
      <c r="O31" s="192" t="n">
        <v>5</v>
      </c>
      <c r="P31" s="192" t="n">
        <v>6</v>
      </c>
      <c r="Q31" s="192" t="n">
        <v>7</v>
      </c>
      <c r="R31" s="192" t="n">
        <v>8</v>
      </c>
      <c r="S31" s="192" t="n">
        <v>9</v>
      </c>
      <c r="T31" s="192" t="n">
        <v>10</v>
      </c>
      <c r="U31" s="192" t="n">
        <v>11</v>
      </c>
      <c r="V31" s="192" t="n">
        <v>12</v>
      </c>
      <c r="W31" s="192" t="n">
        <v>13</v>
      </c>
      <c r="X31" s="192" t="n">
        <v>14</v>
      </c>
      <c r="Y31" s="192" t="n">
        <v>15</v>
      </c>
      <c r="Z31" s="192" t="n">
        <v>16</v>
      </c>
      <c r="AA31" s="192" t="n">
        <v>17</v>
      </c>
      <c r="AB31" s="192" t="n">
        <v>18</v>
      </c>
      <c r="AC31" s="192" t="n">
        <v>19</v>
      </c>
      <c r="AD31" s="192" t="n">
        <v>20</v>
      </c>
      <c r="AE31" s="192" t="n">
        <v>21</v>
      </c>
      <c r="AF31" s="192" t="n">
        <v>22</v>
      </c>
    </row>
    <row r="32" customFormat="false" ht="20.1" hidden="false" customHeight="true" outlineLevel="0" collapsed="false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185"/>
      <c r="N32" s="185"/>
      <c r="O32" s="185" t="n">
        <f aca="false">N32-M32</f>
        <v>0</v>
      </c>
      <c r="P32" s="227" t="e">
        <f aca="false">N32/M32*100</f>
        <v>#DIV/0!</v>
      </c>
      <c r="Q32" s="185"/>
      <c r="R32" s="185" t="n">
        <v>46555</v>
      </c>
      <c r="S32" s="185" t="n">
        <f aca="false">R32-Q32</f>
        <v>46555</v>
      </c>
      <c r="T32" s="227" t="e">
        <f aca="false">R32/Q32*100</f>
        <v>#DIV/0!</v>
      </c>
      <c r="U32" s="185" t="n">
        <v>12</v>
      </c>
      <c r="V32" s="185" t="n">
        <v>167</v>
      </c>
      <c r="W32" s="185" t="n">
        <f aca="false">V32-U32</f>
        <v>155</v>
      </c>
      <c r="X32" s="227" t="n">
        <f aca="false">V32/U32*100</f>
        <v>1391.66666666667</v>
      </c>
      <c r="Y32" s="185"/>
      <c r="Z32" s="185"/>
      <c r="AA32" s="185" t="n">
        <f aca="false">Z32-Y32</f>
        <v>0</v>
      </c>
      <c r="AB32" s="227" t="e">
        <f aca="false">Z32/Y32*100</f>
        <v>#DIV/0!</v>
      </c>
      <c r="AC32" s="185" t="n">
        <f aca="false">SUM(M32,Q32,U32,Y32)</f>
        <v>12</v>
      </c>
      <c r="AD32" s="185" t="n">
        <f aca="false">SUM(N32,R32,V32,Z32)</f>
        <v>46722</v>
      </c>
      <c r="AE32" s="185" t="n">
        <f aca="false">AD32-AC32</f>
        <v>46710</v>
      </c>
      <c r="AF32" s="227" t="n">
        <f aca="false">AD32/AC32*100</f>
        <v>389350</v>
      </c>
    </row>
    <row r="33" customFormat="false" ht="20.1" hidden="false" customHeight="true" outlineLevel="0" collapsed="false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185"/>
      <c r="N33" s="185"/>
      <c r="O33" s="185" t="n">
        <f aca="false">N33-M33</f>
        <v>0</v>
      </c>
      <c r="P33" s="227" t="e">
        <f aca="false">N33/M33*100</f>
        <v>#DIV/0!</v>
      </c>
      <c r="Q33" s="185"/>
      <c r="R33" s="185"/>
      <c r="S33" s="185" t="n">
        <f aca="false">R33-Q33</f>
        <v>0</v>
      </c>
      <c r="T33" s="227" t="e">
        <f aca="false">R33/Q33*100</f>
        <v>#DIV/0!</v>
      </c>
      <c r="U33" s="185" t="n">
        <v>21</v>
      </c>
      <c r="V33" s="185" t="n">
        <v>2</v>
      </c>
      <c r="W33" s="185" t="n">
        <f aca="false">V33-U33</f>
        <v>-19</v>
      </c>
      <c r="X33" s="227" t="n">
        <f aca="false">V33/U33*100</f>
        <v>9.52380952380952</v>
      </c>
      <c r="Y33" s="185"/>
      <c r="Z33" s="185"/>
      <c r="AA33" s="185" t="n">
        <f aca="false">Z33-Y33</f>
        <v>0</v>
      </c>
      <c r="AB33" s="227" t="e">
        <f aca="false">Z33/Y33*100</f>
        <v>#DIV/0!</v>
      </c>
      <c r="AC33" s="185" t="n">
        <f aca="false">SUM(M33,Q33,U33,Y33)</f>
        <v>21</v>
      </c>
      <c r="AD33" s="185" t="n">
        <f aca="false">SUM(N33,R33,V33,Z33)</f>
        <v>2</v>
      </c>
      <c r="AE33" s="185" t="n">
        <f aca="false">AD33-AC33</f>
        <v>-19</v>
      </c>
      <c r="AF33" s="227" t="n">
        <f aca="false">AD33/AC33*100</f>
        <v>9.52380952380952</v>
      </c>
    </row>
    <row r="34" customFormat="false" ht="20.1" hidden="false" customHeight="true" outlineLevel="0" collapsed="false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185"/>
      <c r="N34" s="185"/>
      <c r="O34" s="185" t="n">
        <f aca="false">N34-M34</f>
        <v>0</v>
      </c>
      <c r="P34" s="227" t="e">
        <f aca="false">N34/M34*100</f>
        <v>#DIV/0!</v>
      </c>
      <c r="Q34" s="185"/>
      <c r="R34" s="185"/>
      <c r="S34" s="185" t="n">
        <f aca="false">R34-Q34</f>
        <v>0</v>
      </c>
      <c r="T34" s="227" t="e">
        <f aca="false">R34/Q34*100</f>
        <v>#DIV/0!</v>
      </c>
      <c r="U34" s="185" t="n">
        <f aca="false">75</f>
        <v>75</v>
      </c>
      <c r="V34" s="185" t="n">
        <f aca="false">91</f>
        <v>91</v>
      </c>
      <c r="W34" s="185" t="n">
        <f aca="false">V34-U34</f>
        <v>16</v>
      </c>
      <c r="X34" s="227" t="n">
        <f aca="false">V34/U34*100</f>
        <v>121.333333333333</v>
      </c>
      <c r="Y34" s="185"/>
      <c r="Z34" s="185"/>
      <c r="AA34" s="185" t="n">
        <f aca="false">Z34-Y34</f>
        <v>0</v>
      </c>
      <c r="AB34" s="227" t="e">
        <f aca="false">Z34/Y34*100</f>
        <v>#DIV/0!</v>
      </c>
      <c r="AC34" s="185" t="n">
        <f aca="false">SUM(M34,Q34,U34,Y34)</f>
        <v>75</v>
      </c>
      <c r="AD34" s="185" t="n">
        <f aca="false">SUM(N34,R34,V34,Z34)</f>
        <v>91</v>
      </c>
      <c r="AE34" s="185" t="n">
        <f aca="false">AD34-AC34</f>
        <v>16</v>
      </c>
      <c r="AF34" s="227" t="n">
        <f aca="false">AD34/AC34*100</f>
        <v>121.333333333333</v>
      </c>
    </row>
    <row r="35" customFormat="false" ht="20.1" hidden="false" customHeight="true" outlineLevel="0" collapsed="false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185"/>
      <c r="N35" s="185"/>
      <c r="O35" s="185" t="n">
        <f aca="false">N35-M35</f>
        <v>0</v>
      </c>
      <c r="P35" s="227" t="e">
        <f aca="false">N35/M35*100</f>
        <v>#DIV/0!</v>
      </c>
      <c r="Q35" s="185"/>
      <c r="R35" s="185"/>
      <c r="S35" s="185" t="n">
        <f aca="false">R35-Q35</f>
        <v>0</v>
      </c>
      <c r="T35" s="227" t="e">
        <f aca="false">R35/Q35*100</f>
        <v>#DIV/0!</v>
      </c>
      <c r="U35" s="185"/>
      <c r="V35" s="185" t="n">
        <v>15</v>
      </c>
      <c r="W35" s="185" t="n">
        <f aca="false">V35-U35</f>
        <v>15</v>
      </c>
      <c r="X35" s="227" t="e">
        <f aca="false">V35/U35*100</f>
        <v>#DIV/0!</v>
      </c>
      <c r="Y35" s="185"/>
      <c r="Z35" s="185"/>
      <c r="AA35" s="185" t="n">
        <f aca="false">Z35-Y35</f>
        <v>0</v>
      </c>
      <c r="AB35" s="227" t="e">
        <f aca="false">Z35/Y35*100</f>
        <v>#DIV/0!</v>
      </c>
      <c r="AC35" s="185" t="n">
        <f aca="false">SUM(M35,Q35,U35,Y35)</f>
        <v>0</v>
      </c>
      <c r="AD35" s="185" t="n">
        <f aca="false">SUM(N35,R35,V35,Z35)</f>
        <v>15</v>
      </c>
      <c r="AE35" s="185" t="n">
        <f aca="false">AD35-AC35</f>
        <v>15</v>
      </c>
      <c r="AF35" s="227" t="e">
        <f aca="false">AD35/AC35*100</f>
        <v>#DIV/0!</v>
      </c>
    </row>
    <row r="36" customFormat="false" ht="24.95" hidden="false" customHeight="true" outlineLevel="0" collapsed="false">
      <c r="A36" s="228" t="s">
        <v>63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189" t="n">
        <f aca="false">SUM(M32:M35)</f>
        <v>0</v>
      </c>
      <c r="N36" s="189" t="n">
        <f aca="false">SUM(N32:N35)</f>
        <v>0</v>
      </c>
      <c r="O36" s="167" t="n">
        <f aca="false">SUM(O32:O35)</f>
        <v>0</v>
      </c>
      <c r="P36" s="229" t="e">
        <f aca="false">N36/M36*100</f>
        <v>#DIV/0!</v>
      </c>
      <c r="Q36" s="189" t="n">
        <f aca="false">SUM(Q32:Q35)</f>
        <v>0</v>
      </c>
      <c r="R36" s="189" t="n">
        <f aca="false">SUM(R32:R35)</f>
        <v>46555</v>
      </c>
      <c r="S36" s="167" t="n">
        <f aca="false">SUM(S32:S35)</f>
        <v>46555</v>
      </c>
      <c r="T36" s="229" t="e">
        <f aca="false">R36/Q36*100</f>
        <v>#DIV/0!</v>
      </c>
      <c r="U36" s="189" t="n">
        <f aca="false">SUM(U32:U35)</f>
        <v>108</v>
      </c>
      <c r="V36" s="189" t="n">
        <f aca="false">SUM(V32:V35)</f>
        <v>275</v>
      </c>
      <c r="W36" s="167" t="n">
        <f aca="false">SUM(W32:W35)</f>
        <v>167</v>
      </c>
      <c r="X36" s="229" t="n">
        <f aca="false">V36/U36*100</f>
        <v>254.62962962963</v>
      </c>
      <c r="Y36" s="189" t="n">
        <f aca="false">SUM(Y32:Y35)</f>
        <v>0</v>
      </c>
      <c r="Z36" s="189" t="n">
        <f aca="false">SUM(Z32:Z35)</f>
        <v>0</v>
      </c>
      <c r="AA36" s="167" t="n">
        <f aca="false">SUM(AA32:AA35)</f>
        <v>0</v>
      </c>
      <c r="AB36" s="229" t="e">
        <f aca="false">Z36/Y36*100</f>
        <v>#DIV/0!</v>
      </c>
      <c r="AC36" s="189" t="n">
        <f aca="false">SUM(AC32:AC35)</f>
        <v>108</v>
      </c>
      <c r="AD36" s="189" t="n">
        <f aca="false">SUM(AD32:AD35)</f>
        <v>46830</v>
      </c>
      <c r="AE36" s="167" t="n">
        <f aca="false">SUM(AE32:AE35)</f>
        <v>46722</v>
      </c>
      <c r="AF36" s="229" t="n">
        <f aca="false">AD36/AC36*100</f>
        <v>43361.1111111111</v>
      </c>
    </row>
    <row r="37" customFormat="false" ht="24.95" hidden="false" customHeight="true" outlineLevel="0" collapsed="false">
      <c r="A37" s="230" t="s">
        <v>428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 t="n">
        <f aca="false">M36/AC36*100</f>
        <v>0</v>
      </c>
      <c r="N37" s="231" t="n">
        <f aca="false">N36/AD36*100</f>
        <v>0</v>
      </c>
      <c r="O37" s="67"/>
      <c r="P37" s="67"/>
      <c r="Q37" s="231" t="n">
        <f aca="false">Q36/AC36*100</f>
        <v>0</v>
      </c>
      <c r="R37" s="231" t="n">
        <f aca="false">R36/AD36*100</f>
        <v>99.4127695921418</v>
      </c>
      <c r="S37" s="67"/>
      <c r="T37" s="67"/>
      <c r="U37" s="231" t="n">
        <f aca="false">U36/AC36*100</f>
        <v>100</v>
      </c>
      <c r="V37" s="231" t="n">
        <f aca="false">V36/AD36*100</f>
        <v>0.587230407858211</v>
      </c>
      <c r="W37" s="67"/>
      <c r="X37" s="67"/>
      <c r="Y37" s="231" t="n">
        <f aca="false">Y36/AC36*100</f>
        <v>0</v>
      </c>
      <c r="Z37" s="231" t="n">
        <f aca="false">Z36/AD36*100</f>
        <v>0</v>
      </c>
      <c r="AA37" s="67"/>
      <c r="AB37" s="67"/>
      <c r="AC37" s="231" t="n">
        <f aca="false">SUM(M37,Q37,U37,Y37)</f>
        <v>100</v>
      </c>
      <c r="AD37" s="231" t="n">
        <f aca="false">SUM(N37,R37,V37,Z37)</f>
        <v>100</v>
      </c>
      <c r="AE37" s="67"/>
      <c r="AF37" s="67"/>
    </row>
    <row r="38" customFormat="false" ht="15" hidden="false" customHeight="true" outlineLevel="0" collapsed="false">
      <c r="A38" s="198"/>
      <c r="B38" s="198"/>
      <c r="C38" s="198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</row>
    <row r="39" customFormat="false" ht="15" hidden="false" customHeight="true" outlineLevel="0" collapsed="false">
      <c r="A39" s="198"/>
      <c r="B39" s="198"/>
      <c r="C39" s="198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</row>
    <row r="40" s="199" customFormat="true" ht="31.5" hidden="false" customHeight="true" outlineLevel="0" collapsed="false">
      <c r="C40" s="199" t="s">
        <v>429</v>
      </c>
    </row>
    <row r="41" s="233" customFormat="true" ht="18.75" hidden="false" customHeight="false" outlineLevel="0" collapsed="false">
      <c r="A41" s="97"/>
      <c r="B41" s="97"/>
      <c r="C41" s="97"/>
      <c r="D41" s="97"/>
      <c r="E41" s="97"/>
      <c r="F41" s="97"/>
      <c r="G41" s="97"/>
      <c r="H41" s="97"/>
      <c r="I41" s="97"/>
      <c r="J41" s="97"/>
      <c r="L41" s="97"/>
      <c r="AD41" s="3" t="s">
        <v>422</v>
      </c>
      <c r="AE41" s="3"/>
      <c r="AF41" s="3"/>
    </row>
    <row r="42" s="235" customFormat="true" ht="34.5" hidden="false" customHeight="true" outlineLevel="0" collapsed="false">
      <c r="A42" s="11" t="s">
        <v>408</v>
      </c>
      <c r="B42" s="12" t="s">
        <v>430</v>
      </c>
      <c r="C42" s="12"/>
      <c r="D42" s="12" t="s">
        <v>431</v>
      </c>
      <c r="E42" s="12"/>
      <c r="F42" s="12" t="s">
        <v>432</v>
      </c>
      <c r="G42" s="12"/>
      <c r="H42" s="12" t="s">
        <v>433</v>
      </c>
      <c r="I42" s="12"/>
      <c r="J42" s="12" t="s">
        <v>434</v>
      </c>
      <c r="K42" s="12"/>
      <c r="L42" s="12" t="s">
        <v>12</v>
      </c>
      <c r="M42" s="12"/>
      <c r="N42" s="12"/>
      <c r="O42" s="12"/>
      <c r="P42" s="12"/>
      <c r="Q42" s="12"/>
      <c r="R42" s="12"/>
      <c r="S42" s="12"/>
      <c r="T42" s="12"/>
      <c r="U42" s="12"/>
      <c r="V42" s="234" t="s">
        <v>435</v>
      </c>
      <c r="W42" s="234"/>
      <c r="X42" s="234"/>
      <c r="Y42" s="234"/>
      <c r="Z42" s="234"/>
      <c r="AA42" s="234" t="s">
        <v>436</v>
      </c>
      <c r="AB42" s="234"/>
      <c r="AC42" s="234"/>
      <c r="AD42" s="234"/>
      <c r="AE42" s="234"/>
      <c r="AF42" s="234"/>
    </row>
    <row r="43" s="235" customFormat="true" ht="52.5" hidden="false" customHeight="true" outlineLevel="0" collapsed="false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 t="s">
        <v>437</v>
      </c>
      <c r="M43" s="12"/>
      <c r="N43" s="12" t="s">
        <v>438</v>
      </c>
      <c r="O43" s="12"/>
      <c r="P43" s="12" t="s">
        <v>439</v>
      </c>
      <c r="Q43" s="12"/>
      <c r="R43" s="12"/>
      <c r="S43" s="12"/>
      <c r="T43" s="12"/>
      <c r="U43" s="12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</row>
    <row r="44" s="236" customFormat="true" ht="82.5" hidden="false" customHeight="true" outlineLevel="0" collapsed="false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 t="s">
        <v>114</v>
      </c>
      <c r="Q44" s="12"/>
      <c r="R44" s="12" t="s">
        <v>440</v>
      </c>
      <c r="S44" s="12"/>
      <c r="T44" s="12" t="s">
        <v>441</v>
      </c>
      <c r="U44" s="12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</row>
    <row r="45" s="235" customFormat="true" ht="18.75" hidden="false" customHeight="true" outlineLevel="0" collapsed="false">
      <c r="A45" s="58" t="n">
        <v>1</v>
      </c>
      <c r="B45" s="12" t="n">
        <v>2</v>
      </c>
      <c r="C45" s="12"/>
      <c r="D45" s="12" t="n">
        <v>3</v>
      </c>
      <c r="E45" s="12"/>
      <c r="F45" s="12" t="n">
        <v>4</v>
      </c>
      <c r="G45" s="12"/>
      <c r="H45" s="12" t="n">
        <v>5</v>
      </c>
      <c r="I45" s="12"/>
      <c r="J45" s="12" t="n">
        <v>6</v>
      </c>
      <c r="K45" s="12"/>
      <c r="L45" s="12" t="n">
        <v>7</v>
      </c>
      <c r="M45" s="12"/>
      <c r="N45" s="12" t="n">
        <v>8</v>
      </c>
      <c r="O45" s="12"/>
      <c r="P45" s="12" t="n">
        <v>9</v>
      </c>
      <c r="Q45" s="12"/>
      <c r="R45" s="11" t="n">
        <v>10</v>
      </c>
      <c r="S45" s="11"/>
      <c r="T45" s="12" t="n">
        <v>11</v>
      </c>
      <c r="U45" s="12"/>
      <c r="V45" s="12" t="n">
        <v>12</v>
      </c>
      <c r="W45" s="12"/>
      <c r="X45" s="12"/>
      <c r="Y45" s="12"/>
      <c r="Z45" s="12"/>
      <c r="AA45" s="12" t="n">
        <v>13</v>
      </c>
      <c r="AB45" s="12"/>
      <c r="AC45" s="12"/>
      <c r="AD45" s="12"/>
      <c r="AE45" s="12"/>
      <c r="AF45" s="12"/>
    </row>
    <row r="46" s="235" customFormat="true" ht="20.1" hidden="false" customHeight="true" outlineLevel="0" collapsed="false">
      <c r="A46" s="237"/>
      <c r="B46" s="238"/>
      <c r="C46" s="238"/>
      <c r="D46" s="193"/>
      <c r="E46" s="193"/>
      <c r="F46" s="185"/>
      <c r="G46" s="185"/>
      <c r="H46" s="185"/>
      <c r="I46" s="185"/>
      <c r="J46" s="185"/>
      <c r="K46" s="185"/>
      <c r="L46" s="185"/>
      <c r="M46" s="185"/>
      <c r="N46" s="187" t="n">
        <f aca="false">SUM(P46,R46,T46)</f>
        <v>0</v>
      </c>
      <c r="O46" s="187"/>
      <c r="P46" s="185"/>
      <c r="Q46" s="185"/>
      <c r="R46" s="185"/>
      <c r="S46" s="185"/>
      <c r="T46" s="185"/>
      <c r="U46" s="185"/>
      <c r="V46" s="239"/>
      <c r="W46" s="239"/>
      <c r="X46" s="239"/>
      <c r="Y46" s="239"/>
      <c r="Z46" s="239"/>
      <c r="AA46" s="192"/>
      <c r="AB46" s="192"/>
      <c r="AC46" s="192"/>
      <c r="AD46" s="192"/>
      <c r="AE46" s="192"/>
      <c r="AF46" s="192"/>
    </row>
    <row r="47" s="235" customFormat="true" ht="20.1" hidden="false" customHeight="true" outlineLevel="0" collapsed="false">
      <c r="A47" s="237"/>
      <c r="B47" s="238"/>
      <c r="C47" s="238"/>
      <c r="D47" s="193"/>
      <c r="E47" s="193"/>
      <c r="F47" s="185"/>
      <c r="G47" s="185"/>
      <c r="H47" s="185"/>
      <c r="I47" s="185"/>
      <c r="J47" s="185"/>
      <c r="K47" s="185"/>
      <c r="L47" s="185"/>
      <c r="M47" s="185"/>
      <c r="N47" s="187" t="n">
        <f aca="false">SUM(P47,R47,T47)</f>
        <v>0</v>
      </c>
      <c r="O47" s="187"/>
      <c r="P47" s="185"/>
      <c r="Q47" s="185"/>
      <c r="R47" s="185"/>
      <c r="S47" s="185"/>
      <c r="T47" s="185"/>
      <c r="U47" s="185"/>
      <c r="V47" s="239"/>
      <c r="W47" s="239"/>
      <c r="X47" s="239"/>
      <c r="Y47" s="239"/>
      <c r="Z47" s="239"/>
      <c r="AA47" s="192"/>
      <c r="AB47" s="192"/>
      <c r="AC47" s="192"/>
      <c r="AD47" s="192"/>
      <c r="AE47" s="192"/>
      <c r="AF47" s="192"/>
    </row>
    <row r="48" s="235" customFormat="true" ht="20.1" hidden="false" customHeight="true" outlineLevel="0" collapsed="false">
      <c r="A48" s="237"/>
      <c r="B48" s="238"/>
      <c r="C48" s="238"/>
      <c r="D48" s="193"/>
      <c r="E48" s="193"/>
      <c r="F48" s="185"/>
      <c r="G48" s="185"/>
      <c r="H48" s="185"/>
      <c r="I48" s="185"/>
      <c r="J48" s="185"/>
      <c r="K48" s="185"/>
      <c r="L48" s="185"/>
      <c r="M48" s="185"/>
      <c r="N48" s="187" t="n">
        <f aca="false">SUM(P48,R48,T48)</f>
        <v>0</v>
      </c>
      <c r="O48" s="187"/>
      <c r="P48" s="185"/>
      <c r="Q48" s="185"/>
      <c r="R48" s="185"/>
      <c r="S48" s="185"/>
      <c r="T48" s="185"/>
      <c r="U48" s="185"/>
      <c r="V48" s="239"/>
      <c r="W48" s="239"/>
      <c r="X48" s="239"/>
      <c r="Y48" s="239"/>
      <c r="Z48" s="239"/>
      <c r="AA48" s="192"/>
      <c r="AB48" s="192"/>
      <c r="AC48" s="192"/>
      <c r="AD48" s="192"/>
      <c r="AE48" s="192"/>
      <c r="AF48" s="192"/>
    </row>
    <row r="49" s="235" customFormat="true" ht="20.1" hidden="false" customHeight="true" outlineLevel="0" collapsed="false">
      <c r="A49" s="237"/>
      <c r="B49" s="238"/>
      <c r="C49" s="238"/>
      <c r="D49" s="193"/>
      <c r="E49" s="193"/>
      <c r="F49" s="185"/>
      <c r="G49" s="185"/>
      <c r="H49" s="185"/>
      <c r="I49" s="185"/>
      <c r="J49" s="185"/>
      <c r="K49" s="185"/>
      <c r="L49" s="185"/>
      <c r="M49" s="185"/>
      <c r="N49" s="187" t="n">
        <f aca="false">SUM(P49,R49,T49)</f>
        <v>0</v>
      </c>
      <c r="O49" s="187"/>
      <c r="P49" s="185"/>
      <c r="Q49" s="185"/>
      <c r="R49" s="185"/>
      <c r="S49" s="185"/>
      <c r="T49" s="185"/>
      <c r="U49" s="185"/>
      <c r="V49" s="239"/>
      <c r="W49" s="239"/>
      <c r="X49" s="239"/>
      <c r="Y49" s="239"/>
      <c r="Z49" s="239"/>
      <c r="AA49" s="192"/>
      <c r="AB49" s="192"/>
      <c r="AC49" s="192"/>
      <c r="AD49" s="192"/>
      <c r="AE49" s="192"/>
      <c r="AF49" s="192"/>
    </row>
    <row r="50" s="235" customFormat="true" ht="20.1" hidden="false" customHeight="true" outlineLevel="0" collapsed="false">
      <c r="A50" s="237"/>
      <c r="B50" s="238"/>
      <c r="C50" s="238"/>
      <c r="D50" s="193"/>
      <c r="E50" s="193"/>
      <c r="F50" s="185"/>
      <c r="G50" s="185"/>
      <c r="H50" s="185"/>
      <c r="I50" s="185"/>
      <c r="J50" s="185"/>
      <c r="K50" s="185"/>
      <c r="L50" s="185"/>
      <c r="M50" s="185"/>
      <c r="N50" s="187" t="n">
        <f aca="false">SUM(P50,R50,T50)</f>
        <v>0</v>
      </c>
      <c r="O50" s="187"/>
      <c r="P50" s="185"/>
      <c r="Q50" s="185"/>
      <c r="R50" s="185"/>
      <c r="S50" s="185"/>
      <c r="T50" s="185"/>
      <c r="U50" s="185"/>
      <c r="V50" s="239"/>
      <c r="W50" s="239"/>
      <c r="X50" s="239"/>
      <c r="Y50" s="239"/>
      <c r="Z50" s="239"/>
      <c r="AA50" s="192"/>
      <c r="AB50" s="192"/>
      <c r="AC50" s="192"/>
      <c r="AD50" s="192"/>
      <c r="AE50" s="192"/>
      <c r="AF50" s="192"/>
    </row>
    <row r="51" s="235" customFormat="true" ht="20.1" hidden="false" customHeight="true" outlineLevel="0" collapsed="false">
      <c r="A51" s="237"/>
      <c r="B51" s="238"/>
      <c r="C51" s="238"/>
      <c r="D51" s="193"/>
      <c r="E51" s="193"/>
      <c r="F51" s="185"/>
      <c r="G51" s="185"/>
      <c r="H51" s="185"/>
      <c r="I51" s="185"/>
      <c r="J51" s="185"/>
      <c r="K51" s="185"/>
      <c r="L51" s="185"/>
      <c r="M51" s="185"/>
      <c r="N51" s="187" t="n">
        <f aca="false">SUM(P51,R51,T51)</f>
        <v>0</v>
      </c>
      <c r="O51" s="187"/>
      <c r="P51" s="185"/>
      <c r="Q51" s="185"/>
      <c r="R51" s="185"/>
      <c r="S51" s="185"/>
      <c r="T51" s="185"/>
      <c r="U51" s="185"/>
      <c r="V51" s="239"/>
      <c r="W51" s="239"/>
      <c r="X51" s="239"/>
      <c r="Y51" s="239"/>
      <c r="Z51" s="239"/>
      <c r="AA51" s="192"/>
      <c r="AB51" s="192"/>
      <c r="AC51" s="192"/>
      <c r="AD51" s="192"/>
      <c r="AE51" s="192"/>
      <c r="AF51" s="192"/>
    </row>
    <row r="52" s="235" customFormat="true" ht="20.1" hidden="false" customHeight="true" outlineLevel="0" collapsed="false">
      <c r="A52" s="237"/>
      <c r="B52" s="238"/>
      <c r="C52" s="238"/>
      <c r="D52" s="193"/>
      <c r="E52" s="193"/>
      <c r="F52" s="185"/>
      <c r="G52" s="185"/>
      <c r="H52" s="185"/>
      <c r="I52" s="185"/>
      <c r="J52" s="185"/>
      <c r="K52" s="185"/>
      <c r="L52" s="185"/>
      <c r="M52" s="185"/>
      <c r="N52" s="187" t="n">
        <f aca="false">SUM(P52,R52,T52)</f>
        <v>0</v>
      </c>
      <c r="O52" s="187"/>
      <c r="P52" s="185"/>
      <c r="Q52" s="185"/>
      <c r="R52" s="185"/>
      <c r="S52" s="185"/>
      <c r="T52" s="185"/>
      <c r="U52" s="185"/>
      <c r="V52" s="239"/>
      <c r="W52" s="239"/>
      <c r="X52" s="239"/>
      <c r="Y52" s="239"/>
      <c r="Z52" s="239"/>
      <c r="AA52" s="192"/>
      <c r="AB52" s="192"/>
      <c r="AC52" s="192"/>
      <c r="AD52" s="192"/>
      <c r="AE52" s="192"/>
      <c r="AF52" s="192"/>
    </row>
    <row r="53" s="235" customFormat="true" ht="24.95" hidden="false" customHeight="true" outlineLevel="0" collapsed="false">
      <c r="A53" s="240" t="s">
        <v>63</v>
      </c>
      <c r="B53" s="240"/>
      <c r="C53" s="240"/>
      <c r="D53" s="240"/>
      <c r="E53" s="240"/>
      <c r="F53" s="189" t="n">
        <f aca="false">SUM(F46:F52)</f>
        <v>0</v>
      </c>
      <c r="G53" s="189"/>
      <c r="H53" s="189" t="n">
        <f aca="false">SUM(H46:H52)</f>
        <v>0</v>
      </c>
      <c r="I53" s="189"/>
      <c r="J53" s="189" t="n">
        <f aca="false">SUM(J46:J52)</f>
        <v>0</v>
      </c>
      <c r="K53" s="189"/>
      <c r="L53" s="189" t="n">
        <f aca="false">SUM(L46:L52)</f>
        <v>0</v>
      </c>
      <c r="M53" s="189"/>
      <c r="N53" s="189" t="n">
        <f aca="false">SUM(N46:N52)</f>
        <v>0</v>
      </c>
      <c r="O53" s="189"/>
      <c r="P53" s="189" t="n">
        <f aca="false">SUM(P46:P52)</f>
        <v>0</v>
      </c>
      <c r="Q53" s="189"/>
      <c r="R53" s="189" t="n">
        <f aca="false">SUM(R46:R52)</f>
        <v>0</v>
      </c>
      <c r="S53" s="189"/>
      <c r="T53" s="189" t="n">
        <f aca="false">SUM(T46:T52)</f>
        <v>0</v>
      </c>
      <c r="U53" s="189"/>
      <c r="V53" s="241"/>
      <c r="W53" s="241"/>
      <c r="X53" s="241"/>
      <c r="Y53" s="241"/>
      <c r="Z53" s="241"/>
      <c r="AA53" s="196"/>
      <c r="AB53" s="196"/>
      <c r="AC53" s="196"/>
      <c r="AD53" s="196"/>
      <c r="AE53" s="196"/>
      <c r="AF53" s="196"/>
    </row>
    <row r="54" customFormat="false" ht="15" hidden="false" customHeight="true" outlineLevel="0" collapsed="false">
      <c r="A54" s="198"/>
      <c r="B54" s="198"/>
      <c r="C54" s="198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</row>
    <row r="55" customFormat="false" ht="15" hidden="false" customHeight="true" outlineLevel="0" collapsed="false">
      <c r="A55" s="198"/>
      <c r="B55" s="198"/>
      <c r="C55" s="198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</row>
    <row r="56" customFormat="false" ht="15" hidden="false" customHeight="true" outlineLevel="0" collapsed="false">
      <c r="A56" s="198"/>
      <c r="B56" s="198"/>
      <c r="C56" s="198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</row>
    <row r="57" customFormat="false" ht="53.05" hidden="false" customHeight="true" outlineLevel="0" collapsed="false">
      <c r="A57" s="198"/>
      <c r="B57" s="89" t="s">
        <v>178</v>
      </c>
      <c r="C57" s="89"/>
      <c r="D57" s="89"/>
      <c r="E57" s="89"/>
      <c r="F57" s="89"/>
      <c r="G57" s="89"/>
      <c r="H57" s="232"/>
      <c r="I57" s="232"/>
      <c r="J57" s="232"/>
      <c r="K57" s="232"/>
      <c r="L57" s="232"/>
      <c r="M57" s="242" t="s">
        <v>442</v>
      </c>
      <c r="N57" s="242"/>
      <c r="O57" s="242"/>
      <c r="P57" s="242"/>
      <c r="Q57" s="242"/>
      <c r="R57" s="232"/>
      <c r="S57" s="232"/>
      <c r="T57" s="232"/>
      <c r="U57" s="232"/>
      <c r="V57" s="232"/>
      <c r="W57" s="2" t="s">
        <v>442</v>
      </c>
      <c r="X57" s="2"/>
      <c r="Y57" s="2"/>
      <c r="Z57" s="2"/>
      <c r="AA57" s="2"/>
    </row>
    <row r="58" s="8" customFormat="true" ht="19.35" hidden="false" customHeight="false" outlineLevel="0" collapsed="false">
      <c r="B58" s="2"/>
      <c r="C58" s="2"/>
      <c r="D58" s="2"/>
      <c r="E58" s="2"/>
      <c r="F58" s="2"/>
      <c r="G58" s="2"/>
      <c r="H58" s="199"/>
      <c r="I58" s="199"/>
      <c r="J58" s="199"/>
      <c r="K58" s="199"/>
      <c r="L58" s="199"/>
      <c r="M58" s="2" t="s">
        <v>181</v>
      </c>
      <c r="N58" s="2"/>
      <c r="O58" s="2"/>
      <c r="P58" s="2"/>
      <c r="Q58" s="2"/>
      <c r="V58" s="97"/>
      <c r="W58" s="2" t="s">
        <v>242</v>
      </c>
      <c r="X58" s="2"/>
      <c r="Y58" s="2"/>
      <c r="Z58" s="2"/>
      <c r="AA58" s="2"/>
    </row>
    <row r="59" customFormat="false" ht="16.5" hidden="false" customHeight="true" outlineLevel="0" collapsed="false"/>
    <row r="67" customFormat="false" ht="19.35" hidden="false" customHeight="false" outlineLevel="0" collapsed="false"/>
    <row r="68" customFormat="false" ht="19.5" hidden="false" customHeight="false" outlineLevel="0" collapsed="false"/>
    <row r="69" customFormat="false" ht="19.5" hidden="false" customHeight="false" outlineLevel="0" collapsed="false"/>
    <row r="70" customFormat="false" ht="19.5" hidden="false" customHeight="false" outlineLevel="0" collapsed="false"/>
    <row r="71" customFormat="false" ht="19.5" hidden="false" customHeight="false" outlineLevel="0" collapsed="false"/>
    <row r="72" customFormat="false" ht="19.5" hidden="false" customHeight="false" outlineLevel="0" collapsed="false"/>
    <row r="73" customFormat="false" ht="19.5" hidden="false" customHeight="false" outlineLevel="0" collapsed="false"/>
  </sheetData>
  <mergeCells count="283">
    <mergeCell ref="A3:A4"/>
    <mergeCell ref="B3:C4"/>
    <mergeCell ref="D3:F4"/>
    <mergeCell ref="G3:Q4"/>
    <mergeCell ref="R3:Z3"/>
    <mergeCell ref="AA3:AC4"/>
    <mergeCell ref="AD3:AF4"/>
    <mergeCell ref="R4:T4"/>
    <mergeCell ref="U4:W4"/>
    <mergeCell ref="X4:Z4"/>
    <mergeCell ref="B5:C5"/>
    <mergeCell ref="D5:F5"/>
    <mergeCell ref="G5:Q5"/>
    <mergeCell ref="R5:T5"/>
    <mergeCell ref="U5:W5"/>
    <mergeCell ref="X5:Z5"/>
    <mergeCell ref="AA5:AC5"/>
    <mergeCell ref="AD5:AF5"/>
    <mergeCell ref="B6:C6"/>
    <mergeCell ref="D6:F6"/>
    <mergeCell ref="G6:Q6"/>
    <mergeCell ref="R6:T6"/>
    <mergeCell ref="U6:W6"/>
    <mergeCell ref="X6:Z6"/>
    <mergeCell ref="AA6:AC6"/>
    <mergeCell ref="AD6:AF6"/>
    <mergeCell ref="B7:C7"/>
    <mergeCell ref="D7:F7"/>
    <mergeCell ref="G7:Q7"/>
    <mergeCell ref="R7:T7"/>
    <mergeCell ref="U7:W7"/>
    <mergeCell ref="X7:Z7"/>
    <mergeCell ref="AA7:AC7"/>
    <mergeCell ref="AD7:AF7"/>
    <mergeCell ref="B8:C8"/>
    <mergeCell ref="D8:F8"/>
    <mergeCell ref="G8:Q8"/>
    <mergeCell ref="R8:T8"/>
    <mergeCell ref="U8:W8"/>
    <mergeCell ref="X8:Z8"/>
    <mergeCell ref="AA8:AC8"/>
    <mergeCell ref="AD8:AF8"/>
    <mergeCell ref="B9:C9"/>
    <mergeCell ref="D9:F9"/>
    <mergeCell ref="G9:Q9"/>
    <mergeCell ref="R9:T9"/>
    <mergeCell ref="U9:W9"/>
    <mergeCell ref="X9:Z9"/>
    <mergeCell ref="AA9:AC9"/>
    <mergeCell ref="AD9:AF9"/>
    <mergeCell ref="A10:Q10"/>
    <mergeCell ref="R10:T10"/>
    <mergeCell ref="U10:W10"/>
    <mergeCell ref="X10:Z10"/>
    <mergeCell ref="AA10:AC10"/>
    <mergeCell ref="AD10:AF10"/>
    <mergeCell ref="A15:A17"/>
    <mergeCell ref="B15:C17"/>
    <mergeCell ref="D15:G17"/>
    <mergeCell ref="H15:O17"/>
    <mergeCell ref="P15:Q17"/>
    <mergeCell ref="R15:Z15"/>
    <mergeCell ref="AA15:AC17"/>
    <mergeCell ref="AD15:AF17"/>
    <mergeCell ref="R16:T17"/>
    <mergeCell ref="U16:W17"/>
    <mergeCell ref="X16:Z17"/>
    <mergeCell ref="B18:C18"/>
    <mergeCell ref="D18:G18"/>
    <mergeCell ref="H18:O18"/>
    <mergeCell ref="P18:Q18"/>
    <mergeCell ref="R18:T18"/>
    <mergeCell ref="U18:W18"/>
    <mergeCell ref="X18:Z18"/>
    <mergeCell ref="AA18:AC18"/>
    <mergeCell ref="AD18:AF18"/>
    <mergeCell ref="B19:C19"/>
    <mergeCell ref="D19:G19"/>
    <mergeCell ref="H19:O19"/>
    <mergeCell ref="P19:Q19"/>
    <mergeCell ref="R19:T19"/>
    <mergeCell ref="U19:W19"/>
    <mergeCell ref="X19:Z19"/>
    <mergeCell ref="AA19:AC19"/>
    <mergeCell ref="AD19:AF19"/>
    <mergeCell ref="B20:C20"/>
    <mergeCell ref="D20:G20"/>
    <mergeCell ref="H20:O20"/>
    <mergeCell ref="P20:Q20"/>
    <mergeCell ref="R20:T20"/>
    <mergeCell ref="U20:W20"/>
    <mergeCell ref="X20:Z20"/>
    <mergeCell ref="AA20:AC20"/>
    <mergeCell ref="AD20:AF20"/>
    <mergeCell ref="B21:C21"/>
    <mergeCell ref="D21:G21"/>
    <mergeCell ref="H21:O21"/>
    <mergeCell ref="P21:Q21"/>
    <mergeCell ref="R21:T21"/>
    <mergeCell ref="U21:W21"/>
    <mergeCell ref="X21:Z21"/>
    <mergeCell ref="AA21:AC21"/>
    <mergeCell ref="AD21:AF21"/>
    <mergeCell ref="B22:C22"/>
    <mergeCell ref="D22:G22"/>
    <mergeCell ref="H22:O22"/>
    <mergeCell ref="P22:Q22"/>
    <mergeCell ref="R22:T22"/>
    <mergeCell ref="U22:W22"/>
    <mergeCell ref="X22:Z22"/>
    <mergeCell ref="AA22:AC22"/>
    <mergeCell ref="AD22:AF22"/>
    <mergeCell ref="A23:Q23"/>
    <mergeCell ref="R23:T23"/>
    <mergeCell ref="U23:W23"/>
    <mergeCell ref="X23:Z23"/>
    <mergeCell ref="AA23:AC23"/>
    <mergeCell ref="AD23:AF23"/>
    <mergeCell ref="Z27:AB27"/>
    <mergeCell ref="AD27:AF27"/>
    <mergeCell ref="A28:A30"/>
    <mergeCell ref="B28:L30"/>
    <mergeCell ref="M28:P28"/>
    <mergeCell ref="Q28:T28"/>
    <mergeCell ref="U28:X28"/>
    <mergeCell ref="Y28:AB28"/>
    <mergeCell ref="AC28:AF28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B31:L31"/>
    <mergeCell ref="B32:L32"/>
    <mergeCell ref="B33:L33"/>
    <mergeCell ref="B34:L34"/>
    <mergeCell ref="B35:L35"/>
    <mergeCell ref="A36:L36"/>
    <mergeCell ref="A37:L37"/>
    <mergeCell ref="AD41:AF41"/>
    <mergeCell ref="A42:A44"/>
    <mergeCell ref="B42:C44"/>
    <mergeCell ref="D42:E44"/>
    <mergeCell ref="F42:G44"/>
    <mergeCell ref="H42:I44"/>
    <mergeCell ref="J42:K44"/>
    <mergeCell ref="L42:U42"/>
    <mergeCell ref="V42:Z44"/>
    <mergeCell ref="AA42:AF44"/>
    <mergeCell ref="L43:M44"/>
    <mergeCell ref="N43:O44"/>
    <mergeCell ref="P43:U43"/>
    <mergeCell ref="P44:Q44"/>
    <mergeCell ref="R44:S44"/>
    <mergeCell ref="T44:U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Z45"/>
    <mergeCell ref="AA45:AF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Z46"/>
    <mergeCell ref="AA46:AF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Z47"/>
    <mergeCell ref="AA47:AF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Z48"/>
    <mergeCell ref="AA48:AF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Z49"/>
    <mergeCell ref="AA49:AF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Z50"/>
    <mergeCell ref="AA50:AF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Z51"/>
    <mergeCell ref="AA51:AF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Z52"/>
    <mergeCell ref="AA52:AF52"/>
    <mergeCell ref="A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Z53"/>
    <mergeCell ref="AA53:AF53"/>
    <mergeCell ref="B57:G57"/>
    <mergeCell ref="M57:Q57"/>
    <mergeCell ref="W57:AA57"/>
    <mergeCell ref="B58:G58"/>
    <mergeCell ref="M58:Q58"/>
    <mergeCell ref="W58:Y58"/>
  </mergeCells>
  <printOptions headings="false" gridLines="false" gridLinesSet="true" horizontalCentered="false" verticalCentered="false"/>
  <pageMargins left="0.7875" right="0.0784722222222222" top="0.731944444444444" bottom="0.7875" header="0.315277777777778" footer="0.511805555555555"/>
  <pageSetup paperSize="9" scale="3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Roman,Обычный"&amp;16 &amp;14 15&amp;R&amp;"Times New Roman,Обычный"&amp;14Продовження додатка 3
Таблиця 6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1488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2003-03-13T18:00:22Z</dcterms:created>
  <dc:creator>us</dc:creator>
  <dc:description/>
  <dc:language>uk-UA</dc:language>
  <cp:lastModifiedBy/>
  <cp:lastPrinted>2019-12-26T14:42:27Z</cp:lastPrinted>
  <dcterms:modified xsi:type="dcterms:W3CDTF">2020-01-29T16:38:30Z</dcterms:modified>
  <cp:revision>81</cp:revision>
  <dc:subject/>
  <dc:title/>
</cp:coreProperties>
</file>