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.konoval\Desktop\"/>
    </mc:Choice>
  </mc:AlternateContent>
  <xr:revisionPtr revIDLastSave="0" documentId="13_ncr:1_{8A53EBC5-380F-4466-9B5B-9794AB07F6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Sheet!$A$6:$L$1007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06" i="1" l="1"/>
  <c r="B1005" i="1"/>
  <c r="B1004" i="1"/>
  <c r="B1003" i="1"/>
  <c r="B1002" i="1"/>
  <c r="B1001" i="1"/>
  <c r="B1000" i="1"/>
  <c r="B999" i="1"/>
  <c r="B998" i="1"/>
  <c r="B997" i="1"/>
  <c r="B996" i="1"/>
  <c r="B995" i="1"/>
  <c r="B994" i="1"/>
  <c r="B993" i="1"/>
  <c r="B992" i="1"/>
  <c r="B991" i="1"/>
  <c r="B990" i="1"/>
  <c r="B989" i="1"/>
  <c r="B988" i="1"/>
  <c r="B987" i="1"/>
  <c r="B986" i="1"/>
  <c r="B985" i="1"/>
  <c r="B984" i="1"/>
  <c r="B983" i="1"/>
  <c r="B982" i="1"/>
  <c r="B981" i="1"/>
  <c r="B980" i="1"/>
  <c r="B979" i="1"/>
  <c r="B978" i="1"/>
  <c r="B977" i="1"/>
  <c r="B976" i="1"/>
  <c r="B975" i="1"/>
  <c r="B974" i="1"/>
  <c r="B973" i="1"/>
  <c r="B972" i="1"/>
  <c r="B971" i="1"/>
  <c r="B970" i="1"/>
  <c r="B969" i="1"/>
  <c r="B968" i="1"/>
  <c r="B967" i="1"/>
  <c r="B966" i="1"/>
  <c r="B965" i="1"/>
  <c r="B964" i="1"/>
  <c r="B963" i="1"/>
  <c r="B962" i="1"/>
  <c r="B961" i="1"/>
  <c r="B960" i="1"/>
  <c r="B959" i="1"/>
  <c r="B958" i="1"/>
  <c r="B957" i="1"/>
  <c r="B956" i="1"/>
  <c r="B955" i="1"/>
  <c r="B954" i="1"/>
  <c r="B953" i="1"/>
  <c r="B952" i="1"/>
  <c r="B951" i="1"/>
  <c r="B950" i="1"/>
  <c r="B949" i="1"/>
  <c r="B948" i="1"/>
  <c r="B947" i="1"/>
  <c r="B946" i="1"/>
  <c r="B945" i="1"/>
  <c r="B944" i="1"/>
  <c r="B943" i="1"/>
  <c r="B942" i="1"/>
  <c r="B941" i="1"/>
  <c r="B940" i="1"/>
  <c r="B939" i="1"/>
  <c r="B938" i="1"/>
  <c r="B937" i="1"/>
  <c r="B936" i="1"/>
  <c r="B935" i="1"/>
  <c r="B934" i="1"/>
  <c r="B933" i="1"/>
  <c r="B932" i="1"/>
  <c r="B931" i="1"/>
  <c r="B930" i="1"/>
  <c r="B929" i="1"/>
  <c r="B928" i="1"/>
  <c r="B927" i="1"/>
  <c r="B926" i="1"/>
  <c r="B925" i="1"/>
  <c r="B924" i="1"/>
  <c r="B923" i="1"/>
  <c r="B922" i="1"/>
  <c r="B921" i="1"/>
  <c r="B920" i="1"/>
  <c r="B919" i="1"/>
  <c r="B918" i="1"/>
  <c r="B917" i="1"/>
  <c r="B916" i="1"/>
  <c r="B915" i="1"/>
  <c r="B914" i="1"/>
  <c r="B913" i="1"/>
  <c r="B912" i="1"/>
  <c r="B911" i="1"/>
  <c r="B910" i="1"/>
  <c r="B909" i="1"/>
  <c r="B908" i="1"/>
  <c r="B907" i="1"/>
  <c r="B906" i="1"/>
  <c r="B905" i="1"/>
  <c r="B904" i="1"/>
  <c r="B903" i="1"/>
  <c r="B902" i="1"/>
  <c r="B901" i="1"/>
  <c r="B900" i="1"/>
  <c r="B899" i="1"/>
  <c r="B898" i="1"/>
  <c r="B897" i="1"/>
  <c r="B896" i="1"/>
  <c r="B895" i="1"/>
  <c r="B894" i="1"/>
  <c r="B893" i="1"/>
  <c r="B892" i="1"/>
  <c r="B891" i="1"/>
  <c r="B890" i="1"/>
  <c r="B889" i="1"/>
  <c r="B888" i="1"/>
  <c r="B887" i="1"/>
  <c r="B886" i="1"/>
  <c r="B885" i="1"/>
  <c r="B884" i="1"/>
  <c r="B883" i="1"/>
  <c r="B882" i="1"/>
  <c r="B881" i="1"/>
  <c r="B880" i="1"/>
  <c r="B879" i="1"/>
  <c r="B878" i="1"/>
  <c r="B877" i="1"/>
  <c r="B876" i="1"/>
  <c r="B875" i="1"/>
  <c r="B874" i="1"/>
  <c r="B873" i="1"/>
  <c r="B872" i="1"/>
  <c r="B871" i="1"/>
  <c r="B870" i="1"/>
  <c r="B869" i="1"/>
  <c r="B868" i="1"/>
  <c r="B867" i="1"/>
  <c r="B866" i="1"/>
  <c r="B865" i="1"/>
  <c r="B864" i="1"/>
  <c r="B863" i="1"/>
  <c r="B862" i="1"/>
  <c r="B861" i="1"/>
  <c r="B860" i="1"/>
  <c r="B859" i="1"/>
  <c r="B858" i="1"/>
  <c r="B857" i="1"/>
  <c r="B856" i="1"/>
  <c r="B855" i="1"/>
  <c r="B854" i="1"/>
  <c r="B853" i="1"/>
  <c r="B852" i="1"/>
  <c r="B851" i="1"/>
  <c r="B850" i="1"/>
  <c r="B849" i="1"/>
  <c r="B848" i="1"/>
  <c r="B847" i="1"/>
  <c r="B846" i="1"/>
  <c r="B845" i="1"/>
  <c r="B844" i="1"/>
  <c r="B843" i="1"/>
  <c r="B842" i="1"/>
  <c r="B841" i="1"/>
  <c r="B840" i="1"/>
  <c r="B839" i="1"/>
  <c r="B838" i="1"/>
  <c r="B837" i="1"/>
  <c r="B836" i="1"/>
  <c r="B835" i="1"/>
  <c r="B834" i="1"/>
  <c r="B833" i="1"/>
  <c r="B832" i="1"/>
  <c r="B831" i="1"/>
  <c r="B830" i="1"/>
  <c r="B829" i="1"/>
  <c r="B828" i="1"/>
  <c r="B827" i="1"/>
  <c r="B826" i="1"/>
  <c r="B825" i="1"/>
  <c r="B824" i="1"/>
  <c r="B823" i="1"/>
  <c r="B822" i="1"/>
  <c r="B821" i="1"/>
  <c r="B820" i="1"/>
  <c r="B819" i="1"/>
  <c r="B818" i="1"/>
  <c r="B817" i="1"/>
  <c r="B816" i="1"/>
  <c r="B815" i="1"/>
  <c r="B814" i="1"/>
  <c r="B813" i="1"/>
  <c r="B812" i="1"/>
  <c r="B811" i="1"/>
  <c r="B810" i="1"/>
  <c r="B809" i="1"/>
  <c r="B808" i="1"/>
  <c r="B807" i="1"/>
  <c r="B806" i="1"/>
  <c r="B805" i="1"/>
  <c r="B804" i="1"/>
  <c r="B803" i="1"/>
  <c r="B802" i="1"/>
  <c r="B801" i="1"/>
  <c r="B800" i="1"/>
  <c r="B799" i="1"/>
  <c r="B798" i="1"/>
  <c r="B797" i="1"/>
  <c r="B796" i="1"/>
  <c r="B795" i="1"/>
  <c r="B794" i="1"/>
  <c r="B793" i="1"/>
  <c r="B792" i="1"/>
  <c r="B791" i="1"/>
  <c r="B790" i="1"/>
  <c r="B789" i="1"/>
  <c r="B788" i="1"/>
  <c r="B787" i="1"/>
  <c r="B786" i="1"/>
  <c r="B785" i="1"/>
  <c r="B784" i="1"/>
  <c r="B783" i="1"/>
  <c r="B782" i="1"/>
  <c r="B781" i="1"/>
  <c r="B780" i="1"/>
  <c r="B779" i="1"/>
  <c r="B778" i="1"/>
  <c r="B777" i="1"/>
  <c r="B776" i="1"/>
  <c r="B775" i="1"/>
  <c r="B774" i="1"/>
  <c r="B773" i="1"/>
  <c r="B772" i="1"/>
  <c r="B771" i="1"/>
  <c r="B770" i="1"/>
  <c r="B769" i="1"/>
  <c r="B768" i="1"/>
  <c r="B767" i="1"/>
  <c r="B766" i="1"/>
  <c r="B765" i="1"/>
  <c r="B764" i="1"/>
  <c r="B763" i="1"/>
  <c r="B762" i="1"/>
  <c r="B761" i="1"/>
  <c r="B760" i="1"/>
  <c r="B759" i="1"/>
  <c r="B758" i="1"/>
  <c r="B757" i="1"/>
  <c r="B756" i="1"/>
  <c r="B755" i="1"/>
  <c r="B754" i="1"/>
  <c r="B753" i="1"/>
  <c r="B752" i="1"/>
  <c r="B751" i="1"/>
  <c r="B750" i="1"/>
  <c r="B749" i="1"/>
  <c r="B748" i="1"/>
  <c r="B747" i="1"/>
  <c r="B746" i="1"/>
  <c r="B745" i="1"/>
  <c r="B744" i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6" i="1"/>
  <c r="B25" i="1"/>
  <c r="B27" i="1" s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<sst xmlns="http://schemas.openxmlformats.org/spreadsheetml/2006/main" count="7060" uniqueCount="2337">
  <si>
    <t xml:space="preserve"> Інвентар для фітнесу</t>
  </si>
  <si>
    <t xml:space="preserve"> Інформаційне обладнання</t>
  </si>
  <si>
    <t xml:space="preserve"> Будівельні прути, стрижні, дроти та профілі</t>
  </si>
  <si>
    <t xml:space="preserve"> Будівельні товари</t>
  </si>
  <si>
    <t xml:space="preserve"> Вироби домашнього текстилю</t>
  </si>
  <si>
    <t xml:space="preserve"> Газетний папір, папір ручного виготовлення та інший некрейдований папір або картон для графічних цілей</t>
  </si>
  <si>
    <t xml:space="preserve"> Гальванічні елементи</t>
  </si>
  <si>
    <t xml:space="preserve"> Гравій, пісок, щебінь і наповнювачі</t>
  </si>
  <si>
    <t xml:space="preserve"> Гужові чи ручні вози, інші транспортні засоби з немеханічним приводом, багажні вози та різні запасні частини</t>
  </si>
  <si>
    <t xml:space="preserve"> Гумові вироби</t>
  </si>
  <si>
    <t xml:space="preserve"> Доступ до онлайн-сервісів з правом користування програмною продукцією – інформаційно-комунікаційною системою «Хелсі» (МІС)</t>
  </si>
  <si>
    <t xml:space="preserve"> Експлуатування систем водопостачання</t>
  </si>
  <si>
    <t xml:space="preserve"> Електричне приладдя та супутні товари до електричного обладнання</t>
  </si>
  <si>
    <t xml:space="preserve"> Електричні лампи розжарення</t>
  </si>
  <si>
    <t xml:space="preserve"> Запасні частини до вантажних транспортних засобів, фургонів та легкових автомобілів</t>
  </si>
  <si>
    <t xml:space="preserve"> Знаряддя</t>
  </si>
  <si>
    <t xml:space="preserve"> Кабелі та супутня продукція</t>
  </si>
  <si>
    <t xml:space="preserve"> Клеї</t>
  </si>
  <si>
    <t xml:space="preserve"> Конструкційні матеріали</t>
  </si>
  <si>
    <t xml:space="preserve"> Конструкційні матеріали різні</t>
  </si>
  <si>
    <t xml:space="preserve"> Кухонне приладдя, товари для дому та господарства і приладдя для закладів громадського харчування</t>
  </si>
  <si>
    <t xml:space="preserve"> Лічильна та обчислювальна техніка</t>
  </si>
  <si>
    <t xml:space="preserve"> Мастики, шпаклівки, замазки та розчинники</t>
  </si>
  <si>
    <t xml:space="preserve"> Машини для обробки даних (апаратна частина)</t>
  </si>
  <si>
    <t xml:space="preserve"> Медичне обладнання та вироби медичного призначення різні</t>
  </si>
  <si>
    <t xml:space="preserve"> Натуральні тканини</t>
  </si>
  <si>
    <t xml:space="preserve"> Обладнання для санітарно-гігієнічного контролю та перевірки</t>
  </si>
  <si>
    <t xml:space="preserve"> Питна вода</t>
  </si>
  <si>
    <t xml:space="preserve"> Плити, листи, стрічки та фольга, пов’язані з конструкційними матеріалами</t>
  </si>
  <si>
    <t xml:space="preserve"> Поліетиленові мішки та пакети для сміття</t>
  </si>
  <si>
    <t xml:space="preserve"> Послуги з видалення дерев</t>
  </si>
  <si>
    <t xml:space="preserve"> Послуги з ремонту і технічного обслуговування вимірювальних, випробувальних і контрольних приладів</t>
  </si>
  <si>
    <t xml:space="preserve"> Послуги з ремонту і технічного обслуговування електричного і механічного устаткування будівель</t>
  </si>
  <si>
    <t xml:space="preserve"> Послуги з ремонту і технічного обслуговування медичного та хірургічного обладнання</t>
  </si>
  <si>
    <t xml:space="preserve"> Послуги з ремонту і технічного обслуговування охолоджувальних установок</t>
  </si>
  <si>
    <t xml:space="preserve"> Послуги з ремонту і технічного обслуговування техніки</t>
  </si>
  <si>
    <t xml:space="preserve"> Послуги з технічного обслуговування контрольних приладів</t>
  </si>
  <si>
    <t xml:space="preserve"> Послуги з технічного обслуговування телекомунікаційного обладнання</t>
  </si>
  <si>
    <t xml:space="preserve"> Послуги з технічного огляду та випробовувань</t>
  </si>
  <si>
    <t xml:space="preserve"> Послуги пожежних і рятувальних служб</t>
  </si>
  <si>
    <t xml:space="preserve"> Послуги у сфері охорони здоров’я різні</t>
  </si>
  <si>
    <t xml:space="preserve"> Послуги, пов’язані з базами даних</t>
  </si>
  <si>
    <t xml:space="preserve"> Послуги, пов’язані з програмним забезпеченням</t>
  </si>
  <si>
    <t xml:space="preserve"> Прилади для вимірювання витрати, рівня та тиску рідин і газів</t>
  </si>
  <si>
    <t xml:space="preserve"> Пристрої нагляду та охорони</t>
  </si>
  <si>
    <t xml:space="preserve"> Прокат вантажних транспортних засобів із водієм для перевезення товарів</t>
  </si>
  <si>
    <t xml:space="preserve"> Підсилене харчування</t>
  </si>
  <si>
    <t xml:space="preserve"> Світильники та освітлювальна арматура</t>
  </si>
  <si>
    <t xml:space="preserve"> Сидіння, стільці та супутні вироби і частини до них</t>
  </si>
  <si>
    <t xml:space="preserve"> Фотокопіювальне та поліграфічне обладнання для офсетного друку</t>
  </si>
  <si>
    <t xml:space="preserve"> Фотохімікати</t>
  </si>
  <si>
    <t xml:space="preserve"> Фурнітура різна</t>
  </si>
  <si>
    <t xml:space="preserve"> Частини для сільськогосподарської техніки</t>
  </si>
  <si>
    <t>-</t>
  </si>
  <si>
    <t>0001-ПЗ</t>
  </si>
  <si>
    <t>0002-ЗП</t>
  </si>
  <si>
    <t>00034186</t>
  </si>
  <si>
    <t>001-0406743/36НВ</t>
  </si>
  <si>
    <t>00131819</t>
  </si>
  <si>
    <t>00176</t>
  </si>
  <si>
    <t>00480945</t>
  </si>
  <si>
    <t>007/001-0000811/01ВП/НВ</t>
  </si>
  <si>
    <t>007/001-0001857/01ВП/НВ</t>
  </si>
  <si>
    <t>0077</t>
  </si>
  <si>
    <t>0088</t>
  </si>
  <si>
    <t>01-23/04</t>
  </si>
  <si>
    <t>01/01-25</t>
  </si>
  <si>
    <t>01/01/2025-МС</t>
  </si>
  <si>
    <t>01/010</t>
  </si>
  <si>
    <t>01/046</t>
  </si>
  <si>
    <t>01/057</t>
  </si>
  <si>
    <t>01/07-11</t>
  </si>
  <si>
    <t>01/11</t>
  </si>
  <si>
    <t>01/16-04</t>
  </si>
  <si>
    <t>01/2026</t>
  </si>
  <si>
    <t>0111-Л</t>
  </si>
  <si>
    <t>01187319</t>
  </si>
  <si>
    <t>01187348</t>
  </si>
  <si>
    <t>015-001157/001ОЦВ</t>
  </si>
  <si>
    <t>015-009922/001ОЦВ</t>
  </si>
  <si>
    <t>015-010637/001ОЦВ</t>
  </si>
  <si>
    <t>015-010645/001ОЦВ</t>
  </si>
  <si>
    <t>0175-ЗВІТ</t>
  </si>
  <si>
    <t>0191-СТП</t>
  </si>
  <si>
    <t>01984151</t>
  </si>
  <si>
    <t>01999075</t>
  </si>
  <si>
    <t>01999106</t>
  </si>
  <si>
    <t>01999655</t>
  </si>
  <si>
    <t>01999709</t>
  </si>
  <si>
    <t>02-02/04</t>
  </si>
  <si>
    <t>02-06/02</t>
  </si>
  <si>
    <t>02-Щ</t>
  </si>
  <si>
    <t>02/07/25т</t>
  </si>
  <si>
    <t>02/12/25т</t>
  </si>
  <si>
    <t>02/25</t>
  </si>
  <si>
    <t>02/26</t>
  </si>
  <si>
    <t>02012177</t>
  </si>
  <si>
    <t>0202-СТП</t>
  </si>
  <si>
    <t>02025ПО/1</t>
  </si>
  <si>
    <t>02026ПО/1</t>
  </si>
  <si>
    <t>02568087</t>
  </si>
  <si>
    <t>02568182</t>
  </si>
  <si>
    <t>02883133</t>
  </si>
  <si>
    <t>03/03/2026</t>
  </si>
  <si>
    <t>03/25</t>
  </si>
  <si>
    <t>03338030</t>
  </si>
  <si>
    <t>03351705</t>
  </si>
  <si>
    <t>03351823</t>
  </si>
  <si>
    <t>03361661</t>
  </si>
  <si>
    <t>03363358</t>
  </si>
  <si>
    <t>03973080</t>
  </si>
  <si>
    <t>04/2025</t>
  </si>
  <si>
    <t>04725987</t>
  </si>
  <si>
    <t>05/01</t>
  </si>
  <si>
    <t>0509-Л</t>
  </si>
  <si>
    <t>05506661</t>
  </si>
  <si>
    <t>05518753</t>
  </si>
  <si>
    <t>0601-Л</t>
  </si>
  <si>
    <t>0601/2</t>
  </si>
  <si>
    <t>07/10/25т</t>
  </si>
  <si>
    <t>07/26</t>
  </si>
  <si>
    <t>0701-Л</t>
  </si>
  <si>
    <t>09/2026</t>
  </si>
  <si>
    <t>09/26</t>
  </si>
  <si>
    <t>0904-Л</t>
  </si>
  <si>
    <t>09130000-9 Нафта і дистиляти</t>
  </si>
  <si>
    <t>09210000-4 Мастильні засоби</t>
  </si>
  <si>
    <t>09310000-5 Електрична енергія</t>
  </si>
  <si>
    <t>09320000-8 Пара, гаряча вода та пов’язана продукція</t>
  </si>
  <si>
    <t>1</t>
  </si>
  <si>
    <t>1 ДЕРЖАВНИЙ ПОЖЕЖНО-РЯТУВАЛЬНИЙ ЗАГІН ГОЛОВНОГО УПРАВЛІННЯ ДЕРЖАВНОЇ СЛУЖБИ УКРАЇНИ З НАДЗВИЧАЙНИХ СИТУАЦІЙ У ПОЛТАВСЬКІЙ ОБЛАСТІ</t>
  </si>
  <si>
    <t>10</t>
  </si>
  <si>
    <t>10-26</t>
  </si>
  <si>
    <t>10-Щ</t>
  </si>
  <si>
    <t>10/02</t>
  </si>
  <si>
    <t>10/26</t>
  </si>
  <si>
    <t>100</t>
  </si>
  <si>
    <t>10001</t>
  </si>
  <si>
    <t>1000512386</t>
  </si>
  <si>
    <t>1000566823</t>
  </si>
  <si>
    <t>1000573511</t>
  </si>
  <si>
    <t>1000663366</t>
  </si>
  <si>
    <t>1000663478</t>
  </si>
  <si>
    <t>1000663504</t>
  </si>
  <si>
    <t>1000663527</t>
  </si>
  <si>
    <t>1000663541</t>
  </si>
  <si>
    <t>10009</t>
  </si>
  <si>
    <t>1000909874</t>
  </si>
  <si>
    <t>1000916684</t>
  </si>
  <si>
    <t>10015</t>
  </si>
  <si>
    <t>10020</t>
  </si>
  <si>
    <t>10021</t>
  </si>
  <si>
    <t>10022</t>
  </si>
  <si>
    <t>10023</t>
  </si>
  <si>
    <t>10026</t>
  </si>
  <si>
    <t>1004-Л</t>
  </si>
  <si>
    <t>101</t>
  </si>
  <si>
    <t>1017(02)</t>
  </si>
  <si>
    <t>102</t>
  </si>
  <si>
    <t>102/26</t>
  </si>
  <si>
    <t>103</t>
  </si>
  <si>
    <t>104</t>
  </si>
  <si>
    <t>105</t>
  </si>
  <si>
    <t>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105-000748-00 Очищуючий розчин (CD80), 1Л; Очищувальний розчин «Probe Cleanser» (50 мл); 040-001952-00 Авто кювети (1000pcs/roll, 1BOX=1roll); 105-006677-00 Очищуючий розчинⅡ; Реагент «M-52D Diluent» 20л; Реагент «M-52DIFF Lyse» 500мл; Реагент «M-52LH Lyse» 100мл; Контрольний матеріал BC-5D нормальний рівень 3 мл; 105-039227-00 Осаджуючий реагент EU-50 1шт/уп; BG8 Картриджі електролітів та газів крові; 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PCT, 3*2 мл;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</t>
  </si>
  <si>
    <t>105-004239-00 Тест-система для визначення TSH, 200т; 105-004236-00 Тест-система для визначення FT4, 200т; 105-010703-00 Тест-система для визначення PCT, 100 т; 105-005682-00 Тест-система для визначення Anti-TPO, 200т;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105-005659-00 Тест-система для визначення Troponin I, 100т</t>
  </si>
  <si>
    <t>105-004552-00 Промивний буфер (Wash buffer), 10 Л; 105-000848-00 Сечова кислота (4*40 мл + 2*20 мл); 105-009339-00 Гемоглобін A1c (С) (1×40мл+1×15мл+підготовчий розчин1×200мл+Калібратор); 105-001127-00 Мультікалібратор (20×3мл); 040-001952-00 Авто кювети (1000pcs/roll, 1BOX=1roll); 105-006677-00 Очищуючий розчинⅡ</t>
  </si>
  <si>
    <t>105-005659-00 Тест-система для визначення Troponin I, 100т; 105-005910-00 Калібраційний набір Troponin I, 3*2 мл; 105-005941-00 Контрольна сироватка кардіомаркери (L); 105-004274-00 Розчин субстрату (Substrate solution), 4*115 мл; 105-004552-00 Промивний буфер (Wash buffer), 10 Л; 105-010228-00 Контрольна сироватка PCT (L); 105-004212-00 Тест-система для визначення TSH, 100т; 105-004281-00 Калібраційний набір TSH, 3*2 мл; 105-004209-00 Тест-система для визначення FT4, 100т; 105-004278-00 Калібраційний набір FT4, 3*2 мл; 105-007379-00 Контрольна сироватка щитовидна панель (L), 3*5 мл; 105-005665-00 Тест-система для визначення Anti-TPO, 100т; 105-005916-00 Калібраційний набір Anti-TPO, 3*2 мл;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мл); 105-000820-00 Холестерин загальний (4*40 мл); 105-000821-00 Тригліцериди (4*40 мл); 105-000817-00 Гамаглутамінтрансфераза ГГТ (4×35мл+2×18мл); 105-000818-00 Лактатдегідрогеназа ЛДГ (4×35 мл + 2×18 мл); 105-000835-00 HDL-холестерин (1×40мл+1×14мл); 105-000836-00 LDL-холестерин (1×40 мл + 1×14 мл); 105-009339-00 Гемоглобін A1c (С) (1×40мл+1×15мл+підготовчий розчин1×200мл+Калібратор); 105-009119-00 Контроль ClinChem (рівень1)   (6×5мл); 105-001144-00 Мультикалібратор (10×3 мл); 105-002140-00 Контроль HbA1c норма (4×1 мл); 105-001128-00 Калібратор Ліпіди (5×1 мл); 105-000748-00 Очищуючий розчин (CD80), 1Л; 040-001952-00 Авто кювети (1000pcs/roll, 1BOX=1roll); 105-006677-00 Очищуючий розчинⅡ; Очищувальний розчин «Probe Cleanser» (50 мл); Реагент «M-52D Diluent» 20л; Реагент «M-52DIFF Lyse» 500мл; Реагент «M-52LH Lyse» 100мл; Контрольний матеріал BC-5D високий рівень 3 мл; Контрольний матеріал BC-5D низький рівень 3 мл; Контрольний матеріал BC-5D нормальний рівень 3 мл; 115-085499-00 Тестові смужки 14 параметрів; 105-039227-00 Осаджуючий реагент EU-50 1шт/уп; Реагент DS Diluent (20л); Реагент "M-6 LD Lyse" 1л; Реагент "M-6 LH Lyse" 1л; 105-026689-00 Реагент ШОЕ 1л х 1; Реагент "M-6 FD Dye" 1 х 12мл; BG8 Картриджі електролітів та газів крові</t>
  </si>
  <si>
    <t>105-005910-00 Калібраційний набір Troponin I; 105-004274-00 Розчин субстрату (Substrate solution), 4*115 мл; 105-004552-00 Промивний буфер (Wash buffer), 10 Л; 105-010703-00 Тест-система для визначення PCT, 100 т; 105-010219-00 Калібраційний набір PCT; 105-004239-00 Тест-система для визначення TSH, 200т; 105-004281-00 Калібраційний набір TSH; 105-004236-00 Тест-система для визначення FT4, 200т; 105-004278-00 Калібраційний набір FT4; 105-007380-00 Контрольна сироватка щитовидна панель (H); 105-005682-00 Тест-система для визначення Anti-TPO, 200т; 105-005916-00 Калібраційний набір Anti-TPO; 105-004218-00 Набір реагентів для визначення простати специфічного антигену вільного FPSA111; 105-004219-00 Набір реагентів для визначення простати специфічного антигену загального TPSA111; 105-004287-00 Free PSA калібратори FPSA211; 105-004288-00 Total PSA калібратори TPSA211; 105-007381-00 Пухлинний маркер Multi Control TML322; IF5006 Експрес-тест D-Dimer (імунофлуоресценція); 105-000822-00 Альбумін (4*40мл); 105-000823-00 Білок загальний (4*40 мл); 105-000816-00 Лужна фосфатаза (4*35 мл + 2*18 мл); 105-000814-00 АЛТ (4*35 мл + 2*18 мл); 105-000815-00 АСТ (4*35 мл + 2*18 мл); 105-000848-00 Сечова кислота (4*40 мл + 2*20 мл; 105-000847-00 Альфа-Амілаза (1*38 мл + 1*10 мл); 105-004614-00 Креатинін  (2*27 мл + 1*18 мл); 105-000824-00 Сечовина (4*35 мл + 2*18 мл); 105-000826-00 Білірубін загальний (VOX) (4*35 мл + 2*18 мл); 105-000820-00 Холестерин загальний (4*40 мл); 105-000821-00 Тригліцериди (4*40 мл); 105-000835-00 HDL-холестерин (1×40мл+1×14мл); 105-000836-00 LDL-холестерин (1×40 мл + 1×14 мл); 105-009119-00 Контроль ClinChem (рівень1)   (6×5мл); 105-001127-00 Мультікалібратор (20×3мл); 105-001128-00 Калібратор Ліпіди (5×1 мл); 105-002140-00 Контроль HbA1c норма (4×1 мл); 105-009339-00 Гемоглобін A1c (С) (1×40мл+1×15мл+підготовчий розчин1×200мл+Калібратор); Реагент «M-52D Diluent» 20л; Реагент «M-52DIFF Lyse» 500мл; Реагент «M-52LH Lyse» 100мл; Очищувальний розчин «Probe Cleanser» (50 мл); Контрольний матеріал BC-5D нормальний рівень 3 мл; 105-039227-00 Осаджуючий реагент EU-50 1шт/уп; Реагент DS Diluent (20л); Реагент "M-6 LD Lyse" 1л; 105-026689-00 Реагент ШОЕ 1л х 1; Реагент "M-6 FD Dye" 1 х 12мл</t>
  </si>
  <si>
    <t>106</t>
  </si>
  <si>
    <t>107</t>
  </si>
  <si>
    <t>107/25</t>
  </si>
  <si>
    <t>108</t>
  </si>
  <si>
    <t>11</t>
  </si>
  <si>
    <t>11-02/18</t>
  </si>
  <si>
    <t>11-Щ</t>
  </si>
  <si>
    <t>11/07/25т</t>
  </si>
  <si>
    <t>11/09/25</t>
  </si>
  <si>
    <t>11/26</t>
  </si>
  <si>
    <t>110</t>
  </si>
  <si>
    <t>1104-Л</t>
  </si>
  <si>
    <t>111</t>
  </si>
  <si>
    <t>112</t>
  </si>
  <si>
    <t>113</t>
  </si>
  <si>
    <t>114</t>
  </si>
  <si>
    <t>115</t>
  </si>
  <si>
    <t>115/25</t>
  </si>
  <si>
    <t>116</t>
  </si>
  <si>
    <t>1167/28,08.</t>
  </si>
  <si>
    <t>117</t>
  </si>
  <si>
    <t>118</t>
  </si>
  <si>
    <t>119</t>
  </si>
  <si>
    <t>12</t>
  </si>
  <si>
    <t>12-Щ</t>
  </si>
  <si>
    <t>120</t>
  </si>
  <si>
    <t>1204-Л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</si>
  <si>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</si>
  <si>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</si>
  <si>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</si>
  <si>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</si>
  <si>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</si>
  <si>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</si>
  <si>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</si>
  <si>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</si>
  <si>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</si>
  <si>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</t>
  </si>
  <si>
    <t>13/01</t>
  </si>
  <si>
    <t>13/03-2026</t>
  </si>
  <si>
    <t>13/03-567</t>
  </si>
  <si>
    <t>13/25</t>
  </si>
  <si>
    <t>130</t>
  </si>
  <si>
    <t>13052Е/2026</t>
  </si>
  <si>
    <t>1308</t>
  </si>
  <si>
    <t>131</t>
  </si>
  <si>
    <t>1315</t>
  </si>
  <si>
    <t>1316</t>
  </si>
  <si>
    <t>132</t>
  </si>
  <si>
    <t>133</t>
  </si>
  <si>
    <t>134</t>
  </si>
  <si>
    <t>135</t>
  </si>
  <si>
    <t>136</t>
  </si>
  <si>
    <t>13695593</t>
  </si>
  <si>
    <t>137</t>
  </si>
  <si>
    <t>138</t>
  </si>
  <si>
    <t>139</t>
  </si>
  <si>
    <t>14</t>
  </si>
  <si>
    <t>14-Щ</t>
  </si>
  <si>
    <t>14.08-25</t>
  </si>
  <si>
    <t>14/02</t>
  </si>
  <si>
    <t>14/03/25т</t>
  </si>
  <si>
    <t>14/08/2025</t>
  </si>
  <si>
    <t>140</t>
  </si>
  <si>
    <t>141</t>
  </si>
  <si>
    <t>141/25</t>
  </si>
  <si>
    <t>142</t>
  </si>
  <si>
    <t>14210000-6 Гравій, пісок, щебінь і наповнювачі</t>
  </si>
  <si>
    <t>1422</t>
  </si>
  <si>
    <t>143</t>
  </si>
  <si>
    <t>143/25</t>
  </si>
  <si>
    <t>14333937</t>
  </si>
  <si>
    <t>14348959</t>
  </si>
  <si>
    <t>14360570</t>
  </si>
  <si>
    <t>144</t>
  </si>
  <si>
    <t>14410000-8 Кам’яна сіль</t>
  </si>
  <si>
    <t>145</t>
  </si>
  <si>
    <t>146</t>
  </si>
  <si>
    <t>147</t>
  </si>
  <si>
    <t>148</t>
  </si>
  <si>
    <t>149</t>
  </si>
  <si>
    <t>15</t>
  </si>
  <si>
    <t>15-Щ</t>
  </si>
  <si>
    <t>15/01</t>
  </si>
  <si>
    <t>15/07/25т</t>
  </si>
  <si>
    <t>15/25</t>
  </si>
  <si>
    <t>150</t>
  </si>
  <si>
    <t>150125-48</t>
  </si>
  <si>
    <t>150125-49</t>
  </si>
  <si>
    <t>151</t>
  </si>
  <si>
    <t>1514</t>
  </si>
  <si>
    <t>152</t>
  </si>
  <si>
    <t>153</t>
  </si>
  <si>
    <t>154</t>
  </si>
  <si>
    <t>154/25</t>
  </si>
  <si>
    <t>155</t>
  </si>
  <si>
    <t>156</t>
  </si>
  <si>
    <t>157</t>
  </si>
  <si>
    <t>158</t>
  </si>
  <si>
    <t>15880000-0 Спеціальні продукти харчування, збагачені поживними речовинами</t>
  </si>
  <si>
    <t>15884000-8 Продукти дитячого харчування</t>
  </si>
  <si>
    <t>15890000-3 Продукти харчування та сушені продукти різні</t>
  </si>
  <si>
    <t>15893100-5 Харчові суміші</t>
  </si>
  <si>
    <t>159</t>
  </si>
  <si>
    <t>16</t>
  </si>
  <si>
    <t>16/25</t>
  </si>
  <si>
    <t>160</t>
  </si>
  <si>
    <t>1601211025Д</t>
  </si>
  <si>
    <t>1605030625Д</t>
  </si>
  <si>
    <t>1606-Л</t>
  </si>
  <si>
    <t>161</t>
  </si>
  <si>
    <t>162</t>
  </si>
  <si>
    <t>163</t>
  </si>
  <si>
    <t>16310000-1 Косарки</t>
  </si>
  <si>
    <t>164</t>
  </si>
  <si>
    <t>165</t>
  </si>
  <si>
    <t>166</t>
  </si>
  <si>
    <t>167</t>
  </si>
  <si>
    <t>1675-ІММ</t>
  </si>
  <si>
    <t>16810000-6 Частини для сільськогосподарської техніки</t>
  </si>
  <si>
    <t>169</t>
  </si>
  <si>
    <t>17</t>
  </si>
  <si>
    <t>17-04/2026</t>
  </si>
  <si>
    <t>17/2026</t>
  </si>
  <si>
    <t>170</t>
  </si>
  <si>
    <t>1706-Л</t>
  </si>
  <si>
    <t>171</t>
  </si>
  <si>
    <t>172</t>
  </si>
  <si>
    <t>1736911206</t>
  </si>
  <si>
    <t>174</t>
  </si>
  <si>
    <t>175</t>
  </si>
  <si>
    <t>1753620</t>
  </si>
  <si>
    <t>1753628</t>
  </si>
  <si>
    <t>1767712596</t>
  </si>
  <si>
    <t>177</t>
  </si>
  <si>
    <t>178</t>
  </si>
  <si>
    <t>179</t>
  </si>
  <si>
    <t>18</t>
  </si>
  <si>
    <t>18/04/25</t>
  </si>
  <si>
    <t>18/25</t>
  </si>
  <si>
    <t>18/26</t>
  </si>
  <si>
    <t>180</t>
  </si>
  <si>
    <t>180226-27</t>
  </si>
  <si>
    <t>1806-Л</t>
  </si>
  <si>
    <t>181</t>
  </si>
  <si>
    <t>18110000-3 Формений одяг</t>
  </si>
  <si>
    <t>18130000-9 Спеціальний робочий одяг</t>
  </si>
  <si>
    <t>18140000-2 Аксесуари до робочого одягу</t>
  </si>
  <si>
    <t>182</t>
  </si>
  <si>
    <t>183</t>
  </si>
  <si>
    <t>1831213231</t>
  </si>
  <si>
    <t>184</t>
  </si>
  <si>
    <t>184/26</t>
  </si>
  <si>
    <t>1847801500</t>
  </si>
  <si>
    <t>185</t>
  </si>
  <si>
    <t>186</t>
  </si>
  <si>
    <t>1862889508</t>
  </si>
  <si>
    <t>1868204172</t>
  </si>
  <si>
    <t>187</t>
  </si>
  <si>
    <t>188</t>
  </si>
  <si>
    <t>189</t>
  </si>
  <si>
    <t>18920000-4 Сумки</t>
  </si>
  <si>
    <t>19</t>
  </si>
  <si>
    <t>19-13/05</t>
  </si>
  <si>
    <t>19/25</t>
  </si>
  <si>
    <t>190</t>
  </si>
  <si>
    <t>1906-Л</t>
  </si>
  <si>
    <t>191</t>
  </si>
  <si>
    <t>191/26</t>
  </si>
  <si>
    <t>1911-Л</t>
  </si>
  <si>
    <t>19117325</t>
  </si>
  <si>
    <t>19122024</t>
  </si>
  <si>
    <t>192</t>
  </si>
  <si>
    <t>19210000-1 Натуральні тканини</t>
  </si>
  <si>
    <t>19212000-5 Бавовняні тканини</t>
  </si>
  <si>
    <t>19240000-0 Спеціальні тканини</t>
  </si>
  <si>
    <t>194</t>
  </si>
  <si>
    <t>19430000-9 Пряжа та текстильні нитки з натуральних волокон</t>
  </si>
  <si>
    <t>19480600</t>
  </si>
  <si>
    <t>195</t>
  </si>
  <si>
    <t>19510000-4 Гумові вироби</t>
  </si>
  <si>
    <t>19520000-7 Пластмасові вироби</t>
  </si>
  <si>
    <t>196</t>
  </si>
  <si>
    <t>19640000-4 Поліетиленові мішки та пакети для сміття</t>
  </si>
  <si>
    <t>1966114669</t>
  </si>
  <si>
    <t>197</t>
  </si>
  <si>
    <t>1970204178</t>
  </si>
  <si>
    <t>199</t>
  </si>
  <si>
    <t>2</t>
  </si>
  <si>
    <t>20</t>
  </si>
  <si>
    <t>20-13/05</t>
  </si>
  <si>
    <t>20/01/26-1</t>
  </si>
  <si>
    <t>20/1515-26</t>
  </si>
  <si>
    <t>200</t>
  </si>
  <si>
    <t>2003104734</t>
  </si>
  <si>
    <t>201</t>
  </si>
  <si>
    <t>2011-Л</t>
  </si>
  <si>
    <t>202</t>
  </si>
  <si>
    <t>2024-4698</t>
  </si>
  <si>
    <t>2025-07-15-01</t>
  </si>
  <si>
    <t>2025-10-28-01</t>
  </si>
  <si>
    <t>2025-264</t>
  </si>
  <si>
    <t>2025-27/Я</t>
  </si>
  <si>
    <t>2025-56/Я</t>
  </si>
  <si>
    <t>2025-67/Я</t>
  </si>
  <si>
    <t>2025/01-21</t>
  </si>
  <si>
    <t>2025/10/162</t>
  </si>
  <si>
    <t>2025/442</t>
  </si>
  <si>
    <t>20251205/1</t>
  </si>
  <si>
    <t>2026-1294</t>
  </si>
  <si>
    <t>2026-14/Я</t>
  </si>
  <si>
    <t>2026-17/Я</t>
  </si>
  <si>
    <t>2026-22/Я</t>
  </si>
  <si>
    <t>2026-2375</t>
  </si>
  <si>
    <t>2026-40/Я</t>
  </si>
  <si>
    <t>2026-8/Я</t>
  </si>
  <si>
    <t>2026/03-07</t>
  </si>
  <si>
    <t>203/25</t>
  </si>
  <si>
    <t>20344871</t>
  </si>
  <si>
    <t>204</t>
  </si>
  <si>
    <t>206</t>
  </si>
  <si>
    <t>206/2026-Г</t>
  </si>
  <si>
    <t>207</t>
  </si>
  <si>
    <t>208</t>
  </si>
  <si>
    <t>209</t>
  </si>
  <si>
    <t>21</t>
  </si>
  <si>
    <t>21-13/05</t>
  </si>
  <si>
    <t>21/2026</t>
  </si>
  <si>
    <t>210</t>
  </si>
  <si>
    <t>2101-Л</t>
  </si>
  <si>
    <t>21032025-ТО</t>
  </si>
  <si>
    <t>21042304</t>
  </si>
  <si>
    <t>21044993</t>
  </si>
  <si>
    <t>21045604</t>
  </si>
  <si>
    <t>2106505626</t>
  </si>
  <si>
    <t>211</t>
  </si>
  <si>
    <t>2111-Л</t>
  </si>
  <si>
    <t>212</t>
  </si>
  <si>
    <t>21255477</t>
  </si>
  <si>
    <t>213</t>
  </si>
  <si>
    <t>214</t>
  </si>
  <si>
    <t>215</t>
  </si>
  <si>
    <t>21560045</t>
  </si>
  <si>
    <t>21560766</t>
  </si>
  <si>
    <t>216</t>
  </si>
  <si>
    <t>2166806138</t>
  </si>
  <si>
    <t>217</t>
  </si>
  <si>
    <t>218</t>
  </si>
  <si>
    <t>219</t>
  </si>
  <si>
    <t>2199426085</t>
  </si>
  <si>
    <t>22</t>
  </si>
  <si>
    <t>220</t>
  </si>
  <si>
    <t>2201-Л</t>
  </si>
  <si>
    <t>221</t>
  </si>
  <si>
    <t>22160000-9 Буклети</t>
  </si>
  <si>
    <t>222</t>
  </si>
  <si>
    <t>22200000-2 Газети, періодичні спеціалізовані та інші періодичні видання і журнали</t>
  </si>
  <si>
    <t>22212000-9 Періодичні видання</t>
  </si>
  <si>
    <t>22213000-6 Журнали</t>
  </si>
  <si>
    <t>2228</t>
  </si>
  <si>
    <t>22300321</t>
  </si>
  <si>
    <t>22300321/2</t>
  </si>
  <si>
    <t>22410000-7 Марки</t>
  </si>
  <si>
    <t>2241406297</t>
  </si>
  <si>
    <t>22450000-9 Друкована продукція з елементами захисту</t>
  </si>
  <si>
    <t>22458000-5 Друкована продукція на замовлення</t>
  </si>
  <si>
    <t>2247603355</t>
  </si>
  <si>
    <t>225</t>
  </si>
  <si>
    <t>22518186</t>
  </si>
  <si>
    <t>2276216775</t>
  </si>
  <si>
    <t>227943</t>
  </si>
  <si>
    <t>22810000-1 Паперові чи картонні реєстраційні журнали</t>
  </si>
  <si>
    <t>22820000-4 Бланки</t>
  </si>
  <si>
    <t>22830000-7 Зошити</t>
  </si>
  <si>
    <t>22850000-3 Швидкозшивачі та супутнє приладдя</t>
  </si>
  <si>
    <t>228881</t>
  </si>
  <si>
    <t>229</t>
  </si>
  <si>
    <t>22990000-6 Газетний папір, папір ручного виготовлення та інший некрейдований папір або картон для графічних цілей</t>
  </si>
  <si>
    <t>23</t>
  </si>
  <si>
    <t>23/2025</t>
  </si>
  <si>
    <t>230</t>
  </si>
  <si>
    <t>2301-Л</t>
  </si>
  <si>
    <t>2303-Л</t>
  </si>
  <si>
    <t>2304002985</t>
  </si>
  <si>
    <t>23099739</t>
  </si>
  <si>
    <t>231</t>
  </si>
  <si>
    <t>2311606137</t>
  </si>
  <si>
    <t>2326107667</t>
  </si>
  <si>
    <t>233</t>
  </si>
  <si>
    <t>234</t>
  </si>
  <si>
    <t>2347311813</t>
  </si>
  <si>
    <t>235</t>
  </si>
  <si>
    <t>23522853</t>
  </si>
  <si>
    <t>23548019</t>
  </si>
  <si>
    <t>23733900</t>
  </si>
  <si>
    <t>2377705100</t>
  </si>
  <si>
    <t>238</t>
  </si>
  <si>
    <t>239</t>
  </si>
  <si>
    <t>24</t>
  </si>
  <si>
    <t>24/02/25т</t>
  </si>
  <si>
    <t>24/03/2025-МС</t>
  </si>
  <si>
    <t>240</t>
  </si>
  <si>
    <t>240/2/25</t>
  </si>
  <si>
    <t>240/2/26</t>
  </si>
  <si>
    <t>240/25</t>
  </si>
  <si>
    <t>240/26</t>
  </si>
  <si>
    <t>240/3/25</t>
  </si>
  <si>
    <t>240/3/26</t>
  </si>
  <si>
    <t>24032025-ТО</t>
  </si>
  <si>
    <t>2404/1Р</t>
  </si>
  <si>
    <t>2409/2Р</t>
  </si>
  <si>
    <t>24110000-8 Промислові гази</t>
  </si>
  <si>
    <t>24111300-8 Гелій</t>
  </si>
  <si>
    <t>24112100-3 Діоксид вуглецю</t>
  </si>
  <si>
    <t>24210000-9 Оксиди, пероксиди та гідроксиди</t>
  </si>
  <si>
    <t>24310000-0 Основні неорганічні хімічні речовини</t>
  </si>
  <si>
    <t>24320000-3 Основні органічні хімічні речовини</t>
  </si>
  <si>
    <t>2432616173</t>
  </si>
  <si>
    <t>24389020</t>
  </si>
  <si>
    <t>244/25</t>
  </si>
  <si>
    <t>24450000-3 Агрохімічна продукція</t>
  </si>
  <si>
    <t>24455000-8 Дезинфекційні засоби</t>
  </si>
  <si>
    <t>246</t>
  </si>
  <si>
    <t>247</t>
  </si>
  <si>
    <t>2474103373</t>
  </si>
  <si>
    <t>2482110032</t>
  </si>
  <si>
    <t>24910000-6 Клеї</t>
  </si>
  <si>
    <t>24930000-2 Фотохімікати</t>
  </si>
  <si>
    <t>24950000-8 Спеціалізована хімічна продукція</t>
  </si>
  <si>
    <t>24951311-8 Антифризні речовини</t>
  </si>
  <si>
    <t>24960000-1 Хімічна продукція різна</t>
  </si>
  <si>
    <t>25</t>
  </si>
  <si>
    <t>25-09/06</t>
  </si>
  <si>
    <t>250</t>
  </si>
  <si>
    <t>2503-Л</t>
  </si>
  <si>
    <t>25054</t>
  </si>
  <si>
    <t>251</t>
  </si>
  <si>
    <t>251031</t>
  </si>
  <si>
    <t>2511817911</t>
  </si>
  <si>
    <t>252</t>
  </si>
  <si>
    <t>253</t>
  </si>
  <si>
    <t>2531805202</t>
  </si>
  <si>
    <t>254</t>
  </si>
  <si>
    <t>2542613487</t>
  </si>
  <si>
    <t>255</t>
  </si>
  <si>
    <t>256</t>
  </si>
  <si>
    <t>257</t>
  </si>
  <si>
    <t>258</t>
  </si>
  <si>
    <t>26</t>
  </si>
  <si>
    <t>26-05/06</t>
  </si>
  <si>
    <t>26/25</t>
  </si>
  <si>
    <t>26008</t>
  </si>
  <si>
    <t>26010</t>
  </si>
  <si>
    <t>261</t>
  </si>
  <si>
    <t>26163343</t>
  </si>
  <si>
    <t>263</t>
  </si>
  <si>
    <t>263/1</t>
  </si>
  <si>
    <t>264</t>
  </si>
  <si>
    <t>2658312493</t>
  </si>
  <si>
    <t>2659817946</t>
  </si>
  <si>
    <t>266</t>
  </si>
  <si>
    <t>268</t>
  </si>
  <si>
    <t>27</t>
  </si>
  <si>
    <t>27/25</t>
  </si>
  <si>
    <t>27/Щ</t>
  </si>
  <si>
    <t>270</t>
  </si>
  <si>
    <t>27012025-ТО</t>
  </si>
  <si>
    <t>2702201482</t>
  </si>
  <si>
    <t>2704904423</t>
  </si>
  <si>
    <t>2724500372</t>
  </si>
  <si>
    <t>2741612502</t>
  </si>
  <si>
    <t>2754710596</t>
  </si>
  <si>
    <t>2760903723</t>
  </si>
  <si>
    <t>277</t>
  </si>
  <si>
    <t>278</t>
  </si>
  <si>
    <t>279</t>
  </si>
  <si>
    <t>28-РК</t>
  </si>
  <si>
    <t>28/04-25</t>
  </si>
  <si>
    <t>28/2025</t>
  </si>
  <si>
    <t>281</t>
  </si>
  <si>
    <t>2811312314</t>
  </si>
  <si>
    <t>282</t>
  </si>
  <si>
    <t>283</t>
  </si>
  <si>
    <t>2831717071</t>
  </si>
  <si>
    <t>2832903953</t>
  </si>
  <si>
    <t>284</t>
  </si>
  <si>
    <t>2840-Н-С</t>
  </si>
  <si>
    <t>2849030719</t>
  </si>
  <si>
    <t>285</t>
  </si>
  <si>
    <t>2868409262</t>
  </si>
  <si>
    <t>2870213998</t>
  </si>
  <si>
    <t>2876018855</t>
  </si>
  <si>
    <t>2876407411</t>
  </si>
  <si>
    <t>288</t>
  </si>
  <si>
    <t>2885708566</t>
  </si>
  <si>
    <t>2892317553</t>
  </si>
  <si>
    <t>2893-Н-С</t>
  </si>
  <si>
    <t>29</t>
  </si>
  <si>
    <t>29/07/25-01</t>
  </si>
  <si>
    <t>29/11/2024</t>
  </si>
  <si>
    <t>290</t>
  </si>
  <si>
    <t>2901023766</t>
  </si>
  <si>
    <t>2902015500</t>
  </si>
  <si>
    <t>2906310057</t>
  </si>
  <si>
    <t>2909603733</t>
  </si>
  <si>
    <t>291</t>
  </si>
  <si>
    <t>2919312898</t>
  </si>
  <si>
    <t>292</t>
  </si>
  <si>
    <t>293</t>
  </si>
  <si>
    <t>2944-Н-С</t>
  </si>
  <si>
    <t>295432794024</t>
  </si>
  <si>
    <t>2955017591</t>
  </si>
  <si>
    <t>2983315803</t>
  </si>
  <si>
    <t>2997612408</t>
  </si>
  <si>
    <t>3</t>
  </si>
  <si>
    <t>3/1</t>
  </si>
  <si>
    <t>3/25</t>
  </si>
  <si>
    <t>3/4</t>
  </si>
  <si>
    <t>30</t>
  </si>
  <si>
    <t>300</t>
  </si>
  <si>
    <t>3001415363</t>
  </si>
  <si>
    <t>3006</t>
  </si>
  <si>
    <t>301</t>
  </si>
  <si>
    <t>301-В</t>
  </si>
  <si>
    <t>30109129</t>
  </si>
  <si>
    <t>3012-Л</t>
  </si>
  <si>
    <t>30120000-6 Фотокопіювальне та поліграфічне обладнання для офсетного друку</t>
  </si>
  <si>
    <t>30140000-2 Лічильна та обчислювальна техніка</t>
  </si>
  <si>
    <t>3018717963</t>
  </si>
  <si>
    <t>30190000-7 Офісне устаткування та приладдя різне</t>
  </si>
  <si>
    <t>302</t>
  </si>
  <si>
    <t>30210000-4 Машини для обробки даних (апаратна частина)</t>
  </si>
  <si>
    <t>30230000-0 Комп’ютерне обладнання</t>
  </si>
  <si>
    <t>3029</t>
  </si>
  <si>
    <t>303</t>
  </si>
  <si>
    <t>304</t>
  </si>
  <si>
    <t>30428373</t>
  </si>
  <si>
    <t>3046715161</t>
  </si>
  <si>
    <t>30482268</t>
  </si>
  <si>
    <t>305</t>
  </si>
  <si>
    <t>306</t>
  </si>
  <si>
    <t>30682900</t>
  </si>
  <si>
    <t>307</t>
  </si>
  <si>
    <t>308</t>
  </si>
  <si>
    <t>3086800229</t>
  </si>
  <si>
    <t>309</t>
  </si>
  <si>
    <t>3091422457</t>
  </si>
  <si>
    <t>30951443</t>
  </si>
  <si>
    <t>31</t>
  </si>
  <si>
    <t>31/Щ</t>
  </si>
  <si>
    <t>310</t>
  </si>
  <si>
    <t>3100711704</t>
  </si>
  <si>
    <t>311</t>
  </si>
  <si>
    <t>31110000-0 Електродвигуни</t>
  </si>
  <si>
    <t>31152349</t>
  </si>
  <si>
    <t>3115321111</t>
  </si>
  <si>
    <t>31154000-0 Джерела безперебійного живлення</t>
  </si>
  <si>
    <t>312</t>
  </si>
  <si>
    <t>3120612245</t>
  </si>
  <si>
    <t>31210000-1 Електрична апаратура для комутування та захисту електричних кіл</t>
  </si>
  <si>
    <t>31220000-4 Елементи електричних схем</t>
  </si>
  <si>
    <t>313</t>
  </si>
  <si>
    <t>31301518</t>
  </si>
  <si>
    <t>3130417912</t>
  </si>
  <si>
    <t>31320000-5 Електророзподільні кабелі</t>
  </si>
  <si>
    <t>3138612600</t>
  </si>
  <si>
    <t>31391457</t>
  </si>
  <si>
    <t>314</t>
  </si>
  <si>
    <t>31410000-3 Гальванічні елементи</t>
  </si>
  <si>
    <t>3141812471</t>
  </si>
  <si>
    <t>31423376</t>
  </si>
  <si>
    <t>31430000-9 Електричні акумулятори</t>
  </si>
  <si>
    <t>31440000-2 Акумуляторні батареї</t>
  </si>
  <si>
    <t>315</t>
  </si>
  <si>
    <t>31510000-4 Електричні лампи розжарення</t>
  </si>
  <si>
    <t>31520000-7 Світильники та освітлювальна арматура</t>
  </si>
  <si>
    <t>31527482</t>
  </si>
  <si>
    <t>316</t>
  </si>
  <si>
    <t>31680000-6 Електричне приладдя та супутні товари до електричного обладнання</t>
  </si>
  <si>
    <t>3168018372</t>
  </si>
  <si>
    <t>317</t>
  </si>
  <si>
    <t>31710000-6 Електронне обладнання</t>
  </si>
  <si>
    <t>31730000-2 Електротехнічне обладнання</t>
  </si>
  <si>
    <t>31731100-0 Модулі</t>
  </si>
  <si>
    <t>3174014187</t>
  </si>
  <si>
    <t>31765741</t>
  </si>
  <si>
    <t>3188005712</t>
  </si>
  <si>
    <t>319</t>
  </si>
  <si>
    <t>32</t>
  </si>
  <si>
    <t>32/26</t>
  </si>
  <si>
    <t>320</t>
  </si>
  <si>
    <t>321</t>
  </si>
  <si>
    <t>3216304583</t>
  </si>
  <si>
    <t>322</t>
  </si>
  <si>
    <t>32234000-2 Камери відеоспостереження</t>
  </si>
  <si>
    <t>32256828</t>
  </si>
  <si>
    <t>32260000-3 Обладнання для передавання даних</t>
  </si>
  <si>
    <t>32320000-2 Телевізійне й аудіовізуальне обладнання</t>
  </si>
  <si>
    <t>3232320372</t>
  </si>
  <si>
    <t>32323500-8 Системи відеоспостереження</t>
  </si>
  <si>
    <t>32330000-5 Апаратура для запису та відтворення аудіо- та відеоматеріалу</t>
  </si>
  <si>
    <t>32342400-6 Акустичні пристрої</t>
  </si>
  <si>
    <t>32350000-1 Частини до аудіо- та відеообладнання</t>
  </si>
  <si>
    <t>32354110-3 Рентгенівська плівка</t>
  </si>
  <si>
    <t>324</t>
  </si>
  <si>
    <t>32415000-5 Мережа Ethernet</t>
  </si>
  <si>
    <t>32420000-3 Мережеве обладнання</t>
  </si>
  <si>
    <t>3244013050</t>
  </si>
  <si>
    <t>32490244</t>
  </si>
  <si>
    <t>325</t>
  </si>
  <si>
    <t>325/25</t>
  </si>
  <si>
    <t>32550000-3 Телефонне обладнання</t>
  </si>
  <si>
    <t>32552100-8 Телефони</t>
  </si>
  <si>
    <t>32570000-9 - Комунікаційне обладнання</t>
  </si>
  <si>
    <t>32570000-9 Комунікаційне обладнання</t>
  </si>
  <si>
    <t>32580000-2 Інформаційне обладнання</t>
  </si>
  <si>
    <t>326</t>
  </si>
  <si>
    <t>32635915</t>
  </si>
  <si>
    <t>32676988</t>
  </si>
  <si>
    <t>327</t>
  </si>
  <si>
    <t>3271-Н-С</t>
  </si>
  <si>
    <t>328</t>
  </si>
  <si>
    <t>329</t>
  </si>
  <si>
    <t>33</t>
  </si>
  <si>
    <t>33-31/07</t>
  </si>
  <si>
    <t>3306812254</t>
  </si>
  <si>
    <t>331</t>
  </si>
  <si>
    <t>33104260</t>
  </si>
  <si>
    <t>33120000-7 Системи реєстрації медичної інформації та дослідне обладнання</t>
  </si>
  <si>
    <t>33124000-5 Апаратура та приладдя для діагностики і рентгенодіагностики</t>
  </si>
  <si>
    <t>33130000-0 Стоматологічні та вузькоспеціалізовані інструменти та прилади</t>
  </si>
  <si>
    <t>33140000-3 Медичні матеріали</t>
  </si>
  <si>
    <t>33141000-0 Медичні матеріали нехімічні та гематологічні одноразового застосування</t>
  </si>
  <si>
    <t>33141110-4 Перев’язувальні матеріали</t>
  </si>
  <si>
    <t>33141300-3 Приладдя для венепункції та забору крові</t>
  </si>
  <si>
    <t>33141600-6 Контейнери та пакети для забору матеріалу для аналізів, дренажі та комплекти</t>
  </si>
  <si>
    <t>33150000-6 Апаратура для радіотерапії, механотерапії, електротерапії та фізичної терапії</t>
  </si>
  <si>
    <t>33157400-9 Медичні дихальні апарати</t>
  </si>
  <si>
    <t>33157800-3 Киснеподавальні пристрої</t>
  </si>
  <si>
    <t>33160000-9 Устаткування для операційних блоків</t>
  </si>
  <si>
    <t>33160000-9 Устаткування для операційних блоків;33169000-2 Хірургічні інструменти</t>
  </si>
  <si>
    <t>33162000-3 Апаратура та інструменти для операційних блоків</t>
  </si>
  <si>
    <t>33170000-2 Обладнання для анестезії та реанімації</t>
  </si>
  <si>
    <t>33171000-9 Анестезійні та реанімаційні інструменти;33170000-2 Обладнання для анестезії та реанімації</t>
  </si>
  <si>
    <t>33180000-5 Апаратура для підтримування фізіологічних функцій організму</t>
  </si>
  <si>
    <t>33183000-6 Протезно-ортопедичні вироби</t>
  </si>
  <si>
    <t>33190000-8 Медичне обладнання та вироби медичного призначення різні</t>
  </si>
  <si>
    <t>33190000-8 Медичне обладнання та вироби медичного призначення різні;33199000-1 Одяг для медичного персоналу</t>
  </si>
  <si>
    <t>33190684</t>
  </si>
  <si>
    <t>33192000-2 Меблі медичного призначення</t>
  </si>
  <si>
    <t>33192500-7 Пробірки;33190000-8 Медичне обладнання та вироби медичного призначення різні</t>
  </si>
  <si>
    <t>33195100-4 Монітори;33190000-8 Медичне обладнання та вироби медичного призначення різні;33194110-0 Інфузійні насоси</t>
  </si>
  <si>
    <t>33199000-1 Одяг для медичного персоналу</t>
  </si>
  <si>
    <t>332</t>
  </si>
  <si>
    <t>3323909623</t>
  </si>
  <si>
    <t>3324511835</t>
  </si>
  <si>
    <t>334</t>
  </si>
  <si>
    <t>335</t>
  </si>
  <si>
    <t>3351608087</t>
  </si>
  <si>
    <t>3352608963</t>
  </si>
  <si>
    <t>336</t>
  </si>
  <si>
    <t>33600000-6 Фармацевтична продукція</t>
  </si>
  <si>
    <t>33610000-9 Лікарські засоби для лікування захворювань шлунково-кишкового тракту та розладів обміну речовин;33620000-2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</si>
  <si>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</t>
  </si>
  <si>
    <t>33620000-2 Лікарські засоби для лікування захворювань крові, органів кровотворення та захворювань серцево-судинної системи;33610000-9 Лікарські засоби для лікування захворювань шлунково-кишкового тракту та розладів обміну речовин</t>
  </si>
  <si>
    <t>33640000-8 Лікарські засоби для лікування захворювань сечостатевої системи та гормони</t>
  </si>
  <si>
    <t>33650000-1 Загальні протиінфекційні засоби для системного застосування, вакцини, антинеопластичні засоби та імуномодулятори;33690000-3 Лікарські засоби різні</t>
  </si>
  <si>
    <t>3365507961</t>
  </si>
  <si>
    <t>33660000-4 Лікарські засоби для лікування хвороб нервової системи та захворювань органів чуття</t>
  </si>
  <si>
    <t>33690000-3 Лікарські засоби різні</t>
  </si>
  <si>
    <t>33710000-0 Парфуми, засоби гігієни та презервативи</t>
  </si>
  <si>
    <t>33720000-3 Бритви та манікюрні чи педикюрні набори</t>
  </si>
  <si>
    <t>33730000-6 Офтальмологічні вироби та коригувальні лінзи</t>
  </si>
  <si>
    <t>33740000-9 Засоби для догляду за руками та нігтями</t>
  </si>
  <si>
    <t>33750000-2 Засоби для догляду за малюками</t>
  </si>
  <si>
    <t>33760000-5 Туалетний папір, носові хустинки, рушники для рук і серветки</t>
  </si>
  <si>
    <t>33770000-8 Папір санітарно-гігієнічного призначення</t>
  </si>
  <si>
    <t>33790000-4 Скляний посуд лабораторного, санітарно-гігієнічного чи фармацевтичного призначення</t>
  </si>
  <si>
    <t>3379116447</t>
  </si>
  <si>
    <t>33793000-5 Скляний посуд лабораторного призначення;33790000-4 Скляний посуд лабораторного, санітарно-гігієнічного чи фармацевтичного призначення</t>
  </si>
  <si>
    <t>338</t>
  </si>
  <si>
    <t>339</t>
  </si>
  <si>
    <t>34</t>
  </si>
  <si>
    <t>340</t>
  </si>
  <si>
    <t>34046928</t>
  </si>
  <si>
    <t>3419815404</t>
  </si>
  <si>
    <t>342</t>
  </si>
  <si>
    <t>3423109828</t>
  </si>
  <si>
    <t>3425112160</t>
  </si>
  <si>
    <t>343</t>
  </si>
  <si>
    <t>34320000-6 Механічні запасні частини, крім двигунів і частин двигунів</t>
  </si>
  <si>
    <t>34330000-9 Запасні частини до вантажних транспортних засобів, фургонів та легкових автомобілів</t>
  </si>
  <si>
    <t>34351100-3 Автомобільні шини</t>
  </si>
  <si>
    <t>344</t>
  </si>
  <si>
    <t>345</t>
  </si>
  <si>
    <t>346</t>
  </si>
  <si>
    <t>347</t>
  </si>
  <si>
    <t>34742748</t>
  </si>
  <si>
    <t>348</t>
  </si>
  <si>
    <t>3484206983</t>
  </si>
  <si>
    <t>349</t>
  </si>
  <si>
    <t>34910000-9 Гужові чи ручні вози, інші транспортні засоби з немеханічним приводом, багажні вози та різні запасні частини</t>
  </si>
  <si>
    <t>34913000-0 Запасні частини різні</t>
  </si>
  <si>
    <t>34928480-6 Контейнери та урни для відходів і сміття</t>
  </si>
  <si>
    <t>3493405242</t>
  </si>
  <si>
    <t>35</t>
  </si>
  <si>
    <t>350/25</t>
  </si>
  <si>
    <t>35026331</t>
  </si>
  <si>
    <t>35110000-8 Протипожежне, рятувальне та захисне обладнання</t>
  </si>
  <si>
    <t>35120000-1 Системи та пристрої нагляду та охорони</t>
  </si>
  <si>
    <t>35171386</t>
  </si>
  <si>
    <t>352</t>
  </si>
  <si>
    <t>353</t>
  </si>
  <si>
    <t>3532104907</t>
  </si>
  <si>
    <t>35439877</t>
  </si>
  <si>
    <t>355</t>
  </si>
  <si>
    <t>356</t>
  </si>
  <si>
    <t>357</t>
  </si>
  <si>
    <t>358</t>
  </si>
  <si>
    <t>35809661</t>
  </si>
  <si>
    <t>35814000-3 Протигази</t>
  </si>
  <si>
    <t>35820000-8 Допоміжне екіпірування</t>
  </si>
  <si>
    <t>35821000-5 Прапори</t>
  </si>
  <si>
    <t>359</t>
  </si>
  <si>
    <t>36</t>
  </si>
  <si>
    <t>36/2025</t>
  </si>
  <si>
    <t>361</t>
  </si>
  <si>
    <t>36120793</t>
  </si>
  <si>
    <t>36157713</t>
  </si>
  <si>
    <t>36195523</t>
  </si>
  <si>
    <t>362</t>
  </si>
  <si>
    <t>36257647</t>
  </si>
  <si>
    <t>363</t>
  </si>
  <si>
    <t>364</t>
  </si>
  <si>
    <t>3645904578</t>
  </si>
  <si>
    <t>365</t>
  </si>
  <si>
    <t>36519759</t>
  </si>
  <si>
    <t>366</t>
  </si>
  <si>
    <t>366-26/СІ</t>
  </si>
  <si>
    <t>367</t>
  </si>
  <si>
    <t>368</t>
  </si>
  <si>
    <t>36865753</t>
  </si>
  <si>
    <t>369</t>
  </si>
  <si>
    <t>37</t>
  </si>
  <si>
    <t>370</t>
  </si>
  <si>
    <t>37097633</t>
  </si>
  <si>
    <t>371</t>
  </si>
  <si>
    <t>37115407</t>
  </si>
  <si>
    <t>3712206085</t>
  </si>
  <si>
    <t>372</t>
  </si>
  <si>
    <t>373</t>
  </si>
  <si>
    <t>3730304012</t>
  </si>
  <si>
    <t>374</t>
  </si>
  <si>
    <t>3740302653</t>
  </si>
  <si>
    <t>37411078</t>
  </si>
  <si>
    <t>37420000-8 Гімнастичний інвентар</t>
  </si>
  <si>
    <t>37440000-4 Інвентар для фітнесу</t>
  </si>
  <si>
    <t>37443639</t>
  </si>
  <si>
    <t>37462269</t>
  </si>
  <si>
    <t>37499058</t>
  </si>
  <si>
    <t>375</t>
  </si>
  <si>
    <t>37515425</t>
  </si>
  <si>
    <t>376</t>
  </si>
  <si>
    <t>37710504</t>
  </si>
  <si>
    <t>37783808</t>
  </si>
  <si>
    <t>378</t>
  </si>
  <si>
    <t>3782011696</t>
  </si>
  <si>
    <t>37823500-8 Крейдований папір і крафт-папір</t>
  </si>
  <si>
    <t>37829234</t>
  </si>
  <si>
    <t>37829281</t>
  </si>
  <si>
    <t>37881912</t>
  </si>
  <si>
    <t>379</t>
  </si>
  <si>
    <t>38</t>
  </si>
  <si>
    <t>380</t>
  </si>
  <si>
    <t>38022167</t>
  </si>
  <si>
    <t>38071552</t>
  </si>
  <si>
    <t>381</t>
  </si>
  <si>
    <t>3811908793</t>
  </si>
  <si>
    <t>382</t>
  </si>
  <si>
    <t>38217585</t>
  </si>
  <si>
    <t>38218086</t>
  </si>
  <si>
    <t>38234621</t>
  </si>
  <si>
    <t>38276829</t>
  </si>
  <si>
    <t>383</t>
  </si>
  <si>
    <t>38310000-1 Високоточні терези</t>
  </si>
  <si>
    <t>38311000-8 Електронні ваги та приладдя до них</t>
  </si>
  <si>
    <t>38340000-0 Прилади для вимірювання величин</t>
  </si>
  <si>
    <t>384</t>
  </si>
  <si>
    <t>38410000-2 Лічильні прилади</t>
  </si>
  <si>
    <t>38420000-5 Прилади для вимірювання витрати, рівня та тиску рідин і газів</t>
  </si>
  <si>
    <t>38425100-1 Манометри</t>
  </si>
  <si>
    <t>38430000-8 Детектори та аналізатори</t>
  </si>
  <si>
    <t>38432000-2 Аналізатори</t>
  </si>
  <si>
    <t>38434570-2 Гематологічні аналізатори</t>
  </si>
  <si>
    <t>38469527</t>
  </si>
  <si>
    <t>385</t>
  </si>
  <si>
    <t>38502841</t>
  </si>
  <si>
    <t>38503179</t>
  </si>
  <si>
    <t>38510000-3 Мікроскопи</t>
  </si>
  <si>
    <t>38550000-5 Лічильники</t>
  </si>
  <si>
    <t>386</t>
  </si>
  <si>
    <t>38606078</t>
  </si>
  <si>
    <t>38667722</t>
  </si>
  <si>
    <t>38669714</t>
  </si>
  <si>
    <t>387</t>
  </si>
  <si>
    <t>388</t>
  </si>
  <si>
    <t>38910000-7 Обладнання для санітарно-гігієнічного контролю та перевірки</t>
  </si>
  <si>
    <t>38931471</t>
  </si>
  <si>
    <t>38948768</t>
  </si>
  <si>
    <t>3895604297</t>
  </si>
  <si>
    <t>38Ш/04</t>
  </si>
  <si>
    <t>39</t>
  </si>
  <si>
    <t>39-20/08</t>
  </si>
  <si>
    <t>39110000-6 Сидіння, стільці та супутні вироби і частини до них</t>
  </si>
  <si>
    <t>39120000-9 Столи, серванти, письмові столи та книжкові шафи</t>
  </si>
  <si>
    <t>39130000-2 Офісні меблі</t>
  </si>
  <si>
    <t>39131100-0 Архівні стелажі</t>
  </si>
  <si>
    <t>39140000-5 Меблі для дому</t>
  </si>
  <si>
    <t>39150000-8 Меблі та приспособи різні</t>
  </si>
  <si>
    <t>39151000-5 Меблі різні</t>
  </si>
  <si>
    <t>39151100-6 Стелажі</t>
  </si>
  <si>
    <t>39180000-7 Лабораторні меблі</t>
  </si>
  <si>
    <t>39190000-0 Шпалери та інші настінні покриття</t>
  </si>
  <si>
    <t>39197392</t>
  </si>
  <si>
    <t>392</t>
  </si>
  <si>
    <t>39200000-4 Меблева фурнітура</t>
  </si>
  <si>
    <t>39220000-0 Кухонне приладдя, товари для дому та господарства і приладдя для закладів громадського харчування</t>
  </si>
  <si>
    <t>39240000-6 Різальні інструменти</t>
  </si>
  <si>
    <t>39254120-4 Настінні годинники</t>
  </si>
  <si>
    <t>39260000-2 Секційні лотки та канцелярське приладдя</t>
  </si>
  <si>
    <t>39290000-1 Фурнітура різна</t>
  </si>
  <si>
    <t>39292000-5 Шкільні грифельні чи інші дошки для писання чи малювання або приладдя до них</t>
  </si>
  <si>
    <t>39294100-0 Інформаційна та рекламна продукція</t>
  </si>
  <si>
    <t>393</t>
  </si>
  <si>
    <t>39330000-4 Дезінфекційне обладнання</t>
  </si>
  <si>
    <t>39330111</t>
  </si>
  <si>
    <t>39340000-7 Обладнання для газових мереж</t>
  </si>
  <si>
    <t>39350000-0 Каналізаційне обладнання</t>
  </si>
  <si>
    <t>39370000-6 Водопровідне обладнання</t>
  </si>
  <si>
    <t>394</t>
  </si>
  <si>
    <t>39419173</t>
  </si>
  <si>
    <t>395</t>
  </si>
  <si>
    <t>39510000-0 Вироби домашнього текстилю</t>
  </si>
  <si>
    <t>39520000-3 Готові текстильні вироби</t>
  </si>
  <si>
    <t>39525500-3 Москітні сітки</t>
  </si>
  <si>
    <t>39525800-6 Ганчірки для прибирання</t>
  </si>
  <si>
    <t>39530000-6 Килимові покриття, килимки та килими</t>
  </si>
  <si>
    <t>39540000-9 Вироби різні з канату, мотузки, шпагату та сітки</t>
  </si>
  <si>
    <t>39550000-2 Вироби з нетканих матеріалів</t>
  </si>
  <si>
    <t>39560000-5 Текстильні вироби різні</t>
  </si>
  <si>
    <t>39561110-6 Стрічки</t>
  </si>
  <si>
    <t>396</t>
  </si>
  <si>
    <t>39655922</t>
  </si>
  <si>
    <t>397</t>
  </si>
  <si>
    <t>39710000-2 Електричні побутові прилади</t>
  </si>
  <si>
    <t>39720000-5 Неелектричні побутові прилади</t>
  </si>
  <si>
    <t>39783972</t>
  </si>
  <si>
    <t>398</t>
  </si>
  <si>
    <t>39800000-0 Продукція для чищення та полірування</t>
  </si>
  <si>
    <t>39811000-0 Засоби для ароматизації та дезодорування приміщень</t>
  </si>
  <si>
    <t>39830000-9 Продукція для чищення</t>
  </si>
  <si>
    <t>399</t>
  </si>
  <si>
    <t>4</t>
  </si>
  <si>
    <t>4.1</t>
  </si>
  <si>
    <t>4/26</t>
  </si>
  <si>
    <t>40</t>
  </si>
  <si>
    <t>40/25</t>
  </si>
  <si>
    <t>40109042</t>
  </si>
  <si>
    <t>40145253</t>
  </si>
  <si>
    <t>40240094</t>
  </si>
  <si>
    <t>40282391</t>
  </si>
  <si>
    <t>40321110</t>
  </si>
  <si>
    <t>405</t>
  </si>
  <si>
    <t>40515336</t>
  </si>
  <si>
    <t>406</t>
  </si>
  <si>
    <t>40603474</t>
  </si>
  <si>
    <t>40606276</t>
  </si>
  <si>
    <t>407</t>
  </si>
  <si>
    <t>40723665</t>
  </si>
  <si>
    <t>40762332</t>
  </si>
  <si>
    <t>40957368</t>
  </si>
  <si>
    <t>40986197</t>
  </si>
  <si>
    <t>41</t>
  </si>
  <si>
    <t>410</t>
  </si>
  <si>
    <t>411</t>
  </si>
  <si>
    <t>41110000-3 Питна вода</t>
  </si>
  <si>
    <t>41404407</t>
  </si>
  <si>
    <t>415</t>
  </si>
  <si>
    <t>41609173</t>
  </si>
  <si>
    <t>417</t>
  </si>
  <si>
    <t>41776037</t>
  </si>
  <si>
    <t>41978902</t>
  </si>
  <si>
    <t>42</t>
  </si>
  <si>
    <t>420</t>
  </si>
  <si>
    <t>421</t>
  </si>
  <si>
    <t>42120000-6 Насоси та компресори</t>
  </si>
  <si>
    <t>42130000-9 Арматура трубопровідна: крани, вентилі, клапани та подібні пристрої</t>
  </si>
  <si>
    <t>42160000-8 Котельні установки</t>
  </si>
  <si>
    <t>42241650</t>
  </si>
  <si>
    <t>425</t>
  </si>
  <si>
    <t>42531229</t>
  </si>
  <si>
    <t>426</t>
  </si>
  <si>
    <t>427</t>
  </si>
  <si>
    <t>42710000-6 Машини для виробництва текстильних виробів</t>
  </si>
  <si>
    <t>42716000-8 Пральні машини, машини для сухого чищення та сушильні машини</t>
  </si>
  <si>
    <t>428</t>
  </si>
  <si>
    <t>42820893</t>
  </si>
  <si>
    <t>429</t>
  </si>
  <si>
    <t>42907277</t>
  </si>
  <si>
    <t>42913400-3 Бензинові фільтри</t>
  </si>
  <si>
    <t>42913500-4 Повітрозабірні фільтри</t>
  </si>
  <si>
    <t>43</t>
  </si>
  <si>
    <t>43-16/09</t>
  </si>
  <si>
    <t>430</t>
  </si>
  <si>
    <t>431</t>
  </si>
  <si>
    <t>432</t>
  </si>
  <si>
    <t>43206753</t>
  </si>
  <si>
    <t>43268872</t>
  </si>
  <si>
    <t>43276527</t>
  </si>
  <si>
    <t>43290227</t>
  </si>
  <si>
    <t>433</t>
  </si>
  <si>
    <t>434</t>
  </si>
  <si>
    <t>435</t>
  </si>
  <si>
    <t>436</t>
  </si>
  <si>
    <t>43690470</t>
  </si>
  <si>
    <t>437</t>
  </si>
  <si>
    <t>43741891</t>
  </si>
  <si>
    <t>43808856</t>
  </si>
  <si>
    <t>43830000-0 Електричні інструменти</t>
  </si>
  <si>
    <t>439</t>
  </si>
  <si>
    <t>43937407</t>
  </si>
  <si>
    <t>43977041</t>
  </si>
  <si>
    <t>44</t>
  </si>
  <si>
    <t>440</t>
  </si>
  <si>
    <t>44028601</t>
  </si>
  <si>
    <t>44042228</t>
  </si>
  <si>
    <t>44098532</t>
  </si>
  <si>
    <t>441</t>
  </si>
  <si>
    <t>44110000-4 Конструкційні матеріали</t>
  </si>
  <si>
    <t>44130000-0 Каналізаційні системи</t>
  </si>
  <si>
    <t>44140000-3 Продукція, пов’язана з конструкційними матеріалами</t>
  </si>
  <si>
    <t>44143000-4 Піддони</t>
  </si>
  <si>
    <t>44153968</t>
  </si>
  <si>
    <t>44160000-9 Магістралі, трубопроводи, труби, обсадні труби, тюбінги та супутні вироби</t>
  </si>
  <si>
    <t>44170000-2 Плити, листи, стрічки та фольга, пов’язані з конструкційними матеріалами</t>
  </si>
  <si>
    <t>44190000-8 Конструкційні матеріали різні</t>
  </si>
  <si>
    <t>44192100-3 Полівінілхлоридні пінопласти</t>
  </si>
  <si>
    <t>44210000-5 Конструкції та їх частини</t>
  </si>
  <si>
    <t>44220000-8 Столярні вироби</t>
  </si>
  <si>
    <t>44221200-7 Двері;44221100-6 Вікна</t>
  </si>
  <si>
    <t>44230000-1 Теслярські вироби</t>
  </si>
  <si>
    <t>44235654</t>
  </si>
  <si>
    <t>44283006</t>
  </si>
  <si>
    <t>443</t>
  </si>
  <si>
    <t>44320000-9 Кабелі та супутня продукція</t>
  </si>
  <si>
    <t>44330000-2 Будівельні прути, стрижні, дроти та профілі</t>
  </si>
  <si>
    <t>444</t>
  </si>
  <si>
    <t>44410000-7 Вироби для ванної кімнати та кухні</t>
  </si>
  <si>
    <t>44420000-0 Будівельні товари</t>
  </si>
  <si>
    <t>44424200-0 Клейкі стрічки</t>
  </si>
  <si>
    <t>44476448</t>
  </si>
  <si>
    <t>445</t>
  </si>
  <si>
    <t>44510000-8 Знаряддя</t>
  </si>
  <si>
    <t>44520000-1 Замки, ключі та петлі</t>
  </si>
  <si>
    <t>44521212</t>
  </si>
  <si>
    <t>44530000-4 Кріпильні деталі</t>
  </si>
  <si>
    <t>44610000-9 Цистерни, резервуари, контейнери та посудини високого тиску</t>
  </si>
  <si>
    <t>44613400-4 Контейнери для зберігання</t>
  </si>
  <si>
    <t>44613800-8 Контейнери для відходів</t>
  </si>
  <si>
    <t>447</t>
  </si>
  <si>
    <t>44703690</t>
  </si>
  <si>
    <t>44725954</t>
  </si>
  <si>
    <t>44787565</t>
  </si>
  <si>
    <t>448</t>
  </si>
  <si>
    <t>44810000-1 Фарби</t>
  </si>
  <si>
    <t>44830000-7 Мастики, шпаклівки, замазки та розчинники</t>
  </si>
  <si>
    <t>449</t>
  </si>
  <si>
    <t>44910000-2 Будівельний камінь</t>
  </si>
  <si>
    <t>44920000-5 Вапняк, гіпс і крейда</t>
  </si>
  <si>
    <t>45</t>
  </si>
  <si>
    <t>45058438</t>
  </si>
  <si>
    <t>45090199</t>
  </si>
  <si>
    <t>45096342</t>
  </si>
  <si>
    <t>45099150</t>
  </si>
  <si>
    <t>45192140</t>
  </si>
  <si>
    <t>45220000-5 Інженерні та будівельні роботи</t>
  </si>
  <si>
    <t>45232440-8 Прокладання каналізаційних трубопроводів</t>
  </si>
  <si>
    <t>45260000-7 Покрівельні роботи та інші спеціалізовані будівельні роботи</t>
  </si>
  <si>
    <t>45261910-6 Ремонт дахів</t>
  </si>
  <si>
    <t>45270574</t>
  </si>
  <si>
    <t>45310000-3 Електромонтажні роботи</t>
  </si>
  <si>
    <t>45312100-8 Встановлення систем пожежної сигналізації</t>
  </si>
  <si>
    <t>45312200-9 Встановлення систем охоронної сигналізації</t>
  </si>
  <si>
    <t>45324000-4 Монтаж гіпсокартонних конструкцій</t>
  </si>
  <si>
    <t>45330000-9 Водопровідні та санітарно-технічні роботи</t>
  </si>
  <si>
    <t>45331210-1 Встановлення вентиляційних систем</t>
  </si>
  <si>
    <t>45340000-2 Зведення огорож, монтаж поручнів і захисних засобів</t>
  </si>
  <si>
    <t>45350000-5 Механо-монтажні роботи</t>
  </si>
  <si>
    <t>45354355</t>
  </si>
  <si>
    <t>45410000-4 Штукатурні роботи</t>
  </si>
  <si>
    <t>45417781</t>
  </si>
  <si>
    <t>45421140-7 Монтаж металевих профільних конструкцій, окрім дверей і вікон</t>
  </si>
  <si>
    <t>45421146-9 Монтаж підвісних стель</t>
  </si>
  <si>
    <t>45421160-3 Монтаж віконної і дверної фурнітури</t>
  </si>
  <si>
    <t>45430000-0 Покривання підлоги та стін</t>
  </si>
  <si>
    <t>45431000-7 Укладання кахлю</t>
  </si>
  <si>
    <t>45440000-3 Фарбування та скління</t>
  </si>
  <si>
    <t>45442100-8 Малярні роботи</t>
  </si>
  <si>
    <t>45450000-6 Інші завершальні будівельні роботи</t>
  </si>
  <si>
    <t>455</t>
  </si>
  <si>
    <t>45520000-8 Прокат обладнання з оператором для виконання земляних робіт</t>
  </si>
  <si>
    <t>45533831</t>
  </si>
  <si>
    <t>456</t>
  </si>
  <si>
    <t>45621423</t>
  </si>
  <si>
    <t>457</t>
  </si>
  <si>
    <t>45705305</t>
  </si>
  <si>
    <t>458</t>
  </si>
  <si>
    <t>45800320</t>
  </si>
  <si>
    <t>46</t>
  </si>
  <si>
    <t>46/26</t>
  </si>
  <si>
    <t>462</t>
  </si>
  <si>
    <t>463</t>
  </si>
  <si>
    <t>464</t>
  </si>
  <si>
    <t>465</t>
  </si>
  <si>
    <t>469</t>
  </si>
  <si>
    <t>47</t>
  </si>
  <si>
    <t>470</t>
  </si>
  <si>
    <t>471</t>
  </si>
  <si>
    <t>472</t>
  </si>
  <si>
    <t>475</t>
  </si>
  <si>
    <t>477</t>
  </si>
  <si>
    <t>478</t>
  </si>
  <si>
    <t>478-В/25</t>
  </si>
  <si>
    <t>478-Д</t>
  </si>
  <si>
    <t>479</t>
  </si>
  <si>
    <t>48</t>
  </si>
  <si>
    <t>48-02/10</t>
  </si>
  <si>
    <t>48/26</t>
  </si>
  <si>
    <t>480</t>
  </si>
  <si>
    <t>481</t>
  </si>
  <si>
    <t>482</t>
  </si>
  <si>
    <t>484</t>
  </si>
  <si>
    <t>48440000-4 Пакети програмного забезпечення для фінансового аналізу та бухгалтерського обліку</t>
  </si>
  <si>
    <t>485</t>
  </si>
  <si>
    <t>486</t>
  </si>
  <si>
    <t>48610000-7 Системи баз даних</t>
  </si>
  <si>
    <t>487</t>
  </si>
  <si>
    <t>48730000-4 Пакети програмного забезпечення для забезпечення безпеки</t>
  </si>
  <si>
    <t>48760000-3 Пакети програмного забезпечення для захисту від вірусів</t>
  </si>
  <si>
    <t>48810000-9 Інформаційні системи</t>
  </si>
  <si>
    <t>48820000-2 Сервери</t>
  </si>
  <si>
    <t>49</t>
  </si>
  <si>
    <t>49/25</t>
  </si>
  <si>
    <t>49/26</t>
  </si>
  <si>
    <t>490</t>
  </si>
  <si>
    <t>490/1</t>
  </si>
  <si>
    <t>491</t>
  </si>
  <si>
    <t>492</t>
  </si>
  <si>
    <t>493</t>
  </si>
  <si>
    <t>494</t>
  </si>
  <si>
    <t>495</t>
  </si>
  <si>
    <t>496</t>
  </si>
  <si>
    <t>498</t>
  </si>
  <si>
    <t>499</t>
  </si>
  <si>
    <t>5</t>
  </si>
  <si>
    <t>5/25</t>
  </si>
  <si>
    <t>50</t>
  </si>
  <si>
    <t>50/26</t>
  </si>
  <si>
    <t>500</t>
  </si>
  <si>
    <t>50000000-5 Послуги з ремонту і технічного обслуговування</t>
  </si>
  <si>
    <t>501</t>
  </si>
  <si>
    <t>50110000-9 Послуги з ремонту і технічного обслуговування мототранспортних засобів і супутнього обладнання</t>
  </si>
  <si>
    <t>50112000-3 Послуги з ремонту і технічного обслуговування автомобілів</t>
  </si>
  <si>
    <t>50116500-6 Шиноремонтні послуги, у тому числі шиномонтажні послуги та послуги з балансування коліс</t>
  </si>
  <si>
    <t>50310000-1 Технічне обслуговування і ремонт офісної техніки</t>
  </si>
  <si>
    <t>50320000-4 Послуги з ремонту і технічного обслуговування персональних комп’ютерів</t>
  </si>
  <si>
    <t>50323100-6 Технічне обслуговування комп’ютерних периферійних пристроїв</t>
  </si>
  <si>
    <t>50330000-7 Послуги з технічного обслуговування телекомунікаційного обладнання</t>
  </si>
  <si>
    <t>504</t>
  </si>
  <si>
    <t>50410000-2 Послуги з ремонту і технічного обслуговування вимірювальних, випробувальних і контрольних приладів</t>
  </si>
  <si>
    <t>50413000-3 Послуги з ремонту і технічного обслуговування контрольних приладів</t>
  </si>
  <si>
    <t>50413200-5 Послуги з ремонту і технічного обслуговування протипожежного обладнання</t>
  </si>
  <si>
    <t>50420000-5 Послуги з ремонту і технічного обслуговування медичного та хірургічного обладнання</t>
  </si>
  <si>
    <t>50421200-4 Послуги з ремонту і технічного обслуговування рентгенологічного обладнання</t>
  </si>
  <si>
    <t>50430000-8 Послуги з ремонтування і технічного обслуговування високоточного обладнання</t>
  </si>
  <si>
    <t>50510000-3 Послуги з ремонту і технічного обслуговування насосів, клапанів, кранів і металевих контейнерів</t>
  </si>
  <si>
    <t>5052</t>
  </si>
  <si>
    <t>50530000-9 Послуги з ремонту і технічного обслуговування техніки</t>
  </si>
  <si>
    <t>50532100-4 Послуги з ремонту і технічного обслуговування електродвигунів</t>
  </si>
  <si>
    <t>506-Д</t>
  </si>
  <si>
    <t>50610000-4 Послуги з ремонту і технічного обслуговування захисного обладнання</t>
  </si>
  <si>
    <t>50700000-2 Послуги з ремонту і технічного обслуговування будівельних конструкцій</t>
  </si>
  <si>
    <t>50710000-5 Послуги з ремонту і технічного обслуговування електричного і механічного устаткування будівель</t>
  </si>
  <si>
    <t>50730000-1 Послуги з ремонту і технічного обслуговування охолоджувальних установок</t>
  </si>
  <si>
    <t>50750000-7 Послуги з технічного обслуговування ліфтів</t>
  </si>
  <si>
    <t>50800000-3 Послуги з різних видів ремонту і технічного обслуговування</t>
  </si>
  <si>
    <t>50850000-8 Послуги з ремонту і технічного обслуговування меблів</t>
  </si>
  <si>
    <t>51</t>
  </si>
  <si>
    <t>51110000-6 Послуги зі встановлення електричного обладнання</t>
  </si>
  <si>
    <t>513</t>
  </si>
  <si>
    <t>52</t>
  </si>
  <si>
    <t>52-353</t>
  </si>
  <si>
    <t>52-4/1</t>
  </si>
  <si>
    <t>52-503</t>
  </si>
  <si>
    <t>53</t>
  </si>
  <si>
    <t>5328</t>
  </si>
  <si>
    <t>54</t>
  </si>
  <si>
    <t>54-4/1</t>
  </si>
  <si>
    <t>54/25</t>
  </si>
  <si>
    <t>55</t>
  </si>
  <si>
    <t>55-10/11</t>
  </si>
  <si>
    <t>55520000-1 Кейтерингові послуги</t>
  </si>
  <si>
    <t>56</t>
  </si>
  <si>
    <t>56-10/11</t>
  </si>
  <si>
    <t>57</t>
  </si>
  <si>
    <t>57-10/11</t>
  </si>
  <si>
    <t>577</t>
  </si>
  <si>
    <t>58</t>
  </si>
  <si>
    <t>59</t>
  </si>
  <si>
    <t>592</t>
  </si>
  <si>
    <t>6</t>
  </si>
  <si>
    <t>60</t>
  </si>
  <si>
    <t>60180000-3 Прокат вантажних транспортних засобів із водієм для перевезення товарів</t>
  </si>
  <si>
    <t>61</t>
  </si>
  <si>
    <t>62</t>
  </si>
  <si>
    <t>623</t>
  </si>
  <si>
    <t>63</t>
  </si>
  <si>
    <t>63/25</t>
  </si>
  <si>
    <t>636</t>
  </si>
  <si>
    <t>63710000-9 Послуги з обслуговування наземних видів транспорту</t>
  </si>
  <si>
    <t>64</t>
  </si>
  <si>
    <t>64120000-3 Кур’єрські послуги</t>
  </si>
  <si>
    <t>64210000-1 Послуги телефонного зв’язку та передачі даних</t>
  </si>
  <si>
    <t>64216200-5 Електронні інформаційні послуги</t>
  </si>
  <si>
    <t>644</t>
  </si>
  <si>
    <t>65/25</t>
  </si>
  <si>
    <t>650</t>
  </si>
  <si>
    <t>65000000-3 Комунальні послуги</t>
  </si>
  <si>
    <t>651</t>
  </si>
  <si>
    <t>65110000-7 Розподіл води</t>
  </si>
  <si>
    <t>65130000-3 Експлуатування систем водопостачання</t>
  </si>
  <si>
    <t>652</t>
  </si>
  <si>
    <t>653</t>
  </si>
  <si>
    <t>65310000-9 Розподіл електричної енергії</t>
  </si>
  <si>
    <t>65320000-2 Експлуатація електричних установок</t>
  </si>
  <si>
    <t>656</t>
  </si>
  <si>
    <t>658</t>
  </si>
  <si>
    <t>66</t>
  </si>
  <si>
    <t>66/05/25</t>
  </si>
  <si>
    <t>66/05/26</t>
  </si>
  <si>
    <t>66/1/25</t>
  </si>
  <si>
    <t>66/25</t>
  </si>
  <si>
    <t>660</t>
  </si>
  <si>
    <t>661</t>
  </si>
  <si>
    <t>662</t>
  </si>
  <si>
    <t>663</t>
  </si>
  <si>
    <t>66510000-8 Страхові послуги</t>
  </si>
  <si>
    <t>66514110-0 Послуги зі страхування транспортних засобів</t>
  </si>
  <si>
    <t>666</t>
  </si>
  <si>
    <t>667</t>
  </si>
  <si>
    <t>668</t>
  </si>
  <si>
    <t>669</t>
  </si>
  <si>
    <t>67</t>
  </si>
  <si>
    <t>671</t>
  </si>
  <si>
    <t>675</t>
  </si>
  <si>
    <t>676</t>
  </si>
  <si>
    <t>677</t>
  </si>
  <si>
    <t>678</t>
  </si>
  <si>
    <t>679</t>
  </si>
  <si>
    <t>69</t>
  </si>
  <si>
    <t>7</t>
  </si>
  <si>
    <t>7/01/25с</t>
  </si>
  <si>
    <t>70</t>
  </si>
  <si>
    <t>70/07</t>
  </si>
  <si>
    <t>7020525/05512</t>
  </si>
  <si>
    <t>70330000-3 Послуги з управління нерухомістю, надавані на платній основі чи на договірних засадах</t>
  </si>
  <si>
    <t>71</t>
  </si>
  <si>
    <t>71240000-2 Архітектурні, інженерні та планувальні послуги</t>
  </si>
  <si>
    <t>71310000-4 Консультаційні послуги у галузях інженерії та будівництва</t>
  </si>
  <si>
    <t>71315410-6 Перевірка вентиляційних систем</t>
  </si>
  <si>
    <t>71340000-3 Комплексні інженерні послуги</t>
  </si>
  <si>
    <t>71350000-6 Науково-технічні послуги в галузі інженерії</t>
  </si>
  <si>
    <t>71356000-8 Технічні послуги</t>
  </si>
  <si>
    <t>71356100-9 Послуги з технічного контролю</t>
  </si>
  <si>
    <t>71610000-7 Послуги з випробувань та аналізу складу і чистоти</t>
  </si>
  <si>
    <t>71621000-7 Послуги з технічного аналізу чи консультаційні послуги</t>
  </si>
  <si>
    <t>71630000-3 Послуги з технічного огляду та випробовувань</t>
  </si>
  <si>
    <t>71900000-7 Лабораторні послуги</t>
  </si>
  <si>
    <t>72</t>
  </si>
  <si>
    <t>72210000-0 Послуги з розробки пакетів програмного забезпечення</t>
  </si>
  <si>
    <t>72240000-9 Послуги з аналізу та програмування систем</t>
  </si>
  <si>
    <t>72250000-2 Послуги, пов’язані із системами та підтримкою</t>
  </si>
  <si>
    <t>72260000-5 Послуги, пов’язані з програмним забезпеченням</t>
  </si>
  <si>
    <t>72266000-7 Консультаційні послуги з питань програмного забезпечення</t>
  </si>
  <si>
    <t>72310000-1 Послуги з обробки даних</t>
  </si>
  <si>
    <t>72315000-6 Послуги з керування мережами даних і з підтримки мереж даних</t>
  </si>
  <si>
    <t>72315200-8 Послуги з керування мережами даних</t>
  </si>
  <si>
    <t>72320000-4 Послуги, пов’язані з базами даних</t>
  </si>
  <si>
    <t>72400000-4 Інтернет-послуги</t>
  </si>
  <si>
    <t>72410000-7 Послуги провайдерів</t>
  </si>
  <si>
    <t>72700000-7 Послуги у сфері комп’ютерних мереж</t>
  </si>
  <si>
    <t>72710000-0 Послуги у сфері локальних мереж</t>
  </si>
  <si>
    <t>73</t>
  </si>
  <si>
    <t>73110000-6 Дослідницькі послуги</t>
  </si>
  <si>
    <t>74</t>
  </si>
  <si>
    <t>75</t>
  </si>
  <si>
    <t>752</t>
  </si>
  <si>
    <t>75230000-7 Послуги у сфері юстиції</t>
  </si>
  <si>
    <t>75240000-0 Послуги із забезпечення громадської безпеки, охорони правопорядку та громадського порядку</t>
  </si>
  <si>
    <t>75250000-3 Послуги пожежних і рятувальних служб</t>
  </si>
  <si>
    <t>76</t>
  </si>
  <si>
    <t>77</t>
  </si>
  <si>
    <t>77/16</t>
  </si>
  <si>
    <t>77/17</t>
  </si>
  <si>
    <t>77/2</t>
  </si>
  <si>
    <t>77211300-5 Послуги з видалення дерев</t>
  </si>
  <si>
    <t>77220000-8 Послуги з просочування деревини</t>
  </si>
  <si>
    <t>77340000-5 Підрізання дерев і живих огорож</t>
  </si>
  <si>
    <t>78</t>
  </si>
  <si>
    <t>7876</t>
  </si>
  <si>
    <t>79</t>
  </si>
  <si>
    <t>79110000-8 Послуги з юридичного консультування та юридичного представництва</t>
  </si>
  <si>
    <t>793</t>
  </si>
  <si>
    <t>79410000-1 Консультаційні послуги з питань підприємницької діяльності та управління</t>
  </si>
  <si>
    <t>79540000-1 Послуги з усного перекладу</t>
  </si>
  <si>
    <t>79710000-4 Охоронні послуги</t>
  </si>
  <si>
    <t>79711000-1 Послуги з моніторингу сигналів тривоги, що надходять з пристроїв охоронної сигналізації</t>
  </si>
  <si>
    <t>79713000-5 Послуги з охорони об’єктів та особистої охорони</t>
  </si>
  <si>
    <t>79980000-7 Послуги з передплати друкованих видань</t>
  </si>
  <si>
    <t>79991000-7 Послуги з інвентаризації</t>
  </si>
  <si>
    <t>79995100-6 Архівні послуги</t>
  </si>
  <si>
    <t>8</t>
  </si>
  <si>
    <t>80</t>
  </si>
  <si>
    <t>80510000-2 Послуги з професійної підготовки спеціалістів</t>
  </si>
  <si>
    <t>80520000-5 Навчальні засоби</t>
  </si>
  <si>
    <t>80530000-8 Послуги у сфері професійної підготовки</t>
  </si>
  <si>
    <t>80550000-4 Послуги з професійної підготовки у сфері безпеки</t>
  </si>
  <si>
    <t>80570000-0 Послуги з професійної підготовки у сфері підвищення кваліфікації</t>
  </si>
  <si>
    <t>81</t>
  </si>
  <si>
    <t>82</t>
  </si>
  <si>
    <t>83</t>
  </si>
  <si>
    <t>84</t>
  </si>
  <si>
    <t>845</t>
  </si>
  <si>
    <t>85</t>
  </si>
  <si>
    <t>85110000-3 Послуги лікувальних закладів та супутні послуги</t>
  </si>
  <si>
    <t>85120000-6 Лікарська практика та супутні послуги</t>
  </si>
  <si>
    <t>85140000-2 Послуги у сфері охорони здоров’я різні</t>
  </si>
  <si>
    <t>85150000-5 Послуги діагностичної візуалізації</t>
  </si>
  <si>
    <t>8553</t>
  </si>
  <si>
    <t>86</t>
  </si>
  <si>
    <t>86/25</t>
  </si>
  <si>
    <t>87</t>
  </si>
  <si>
    <t>88</t>
  </si>
  <si>
    <t>89</t>
  </si>
  <si>
    <t>897</t>
  </si>
  <si>
    <t>9</t>
  </si>
  <si>
    <t>90/26</t>
  </si>
  <si>
    <t>90470000-2 Послуги з чищення каналізаційних колекторів</t>
  </si>
  <si>
    <t>90510000-5 Утилізація/видалення сміття та поводження зі сміттям</t>
  </si>
  <si>
    <t>90520000-8 Послуги у сфері поводження з радіоактивними, токсичними, медичними та небезпечними відходами</t>
  </si>
  <si>
    <t>90720000-0 Захист довкілля</t>
  </si>
  <si>
    <t>90721000-7 Послуги із забезпечення екологічної безпеки</t>
  </si>
  <si>
    <t>90721600-3 Послуги з радіаційного захисту</t>
  </si>
  <si>
    <t>90920000-2 Послуги із санітарно-гігієнічної обробки приміщень</t>
  </si>
  <si>
    <t>91</t>
  </si>
  <si>
    <t>91/24</t>
  </si>
  <si>
    <t>91/26</t>
  </si>
  <si>
    <t>92</t>
  </si>
  <si>
    <t>922</t>
  </si>
  <si>
    <t>92220000-9 Телевізійні послуги</t>
  </si>
  <si>
    <t>93</t>
  </si>
  <si>
    <t>93/26</t>
  </si>
  <si>
    <t>94</t>
  </si>
  <si>
    <t>95</t>
  </si>
  <si>
    <t>96</t>
  </si>
  <si>
    <t>963</t>
  </si>
  <si>
    <t>97</t>
  </si>
  <si>
    <t>98</t>
  </si>
  <si>
    <t>98370000-7 Поховальні та супутні послуги</t>
  </si>
  <si>
    <t>987</t>
  </si>
  <si>
    <t>99</t>
  </si>
  <si>
    <t>992</t>
  </si>
  <si>
    <t>BG8 Картриджі електролітів та газів крові</t>
  </si>
  <si>
    <t xml:space="preserve">Logicpower ДБЖ з правильною синусоїдою 24V LPE-W-PSW-3600VA+(2500Вт) 1-50А </t>
  </si>
  <si>
    <t>P/616/4</t>
  </si>
  <si>
    <t>P/673/4</t>
  </si>
  <si>
    <t>U/3495/3</t>
  </si>
  <si>
    <t>U/3793/3</t>
  </si>
  <si>
    <t>report-feedback@zakupivli.pro</t>
  </si>
  <si>
    <t>ЄДРПОУ організатора</t>
  </si>
  <si>
    <t>ЄДРПОУ переможця</t>
  </si>
  <si>
    <t>Ємкість для збору патоморфологічних зразків на 60 м, стерильна, з градуюванням, не стійка до автоклавування; Сечоприймач активного носіння, педіатричний, одноразовий, стерильний, для хлопчиків, 100 мл, №1; Сечоприймач активного носіння, педіатричний, одноразовий, стерильний, для дівчаток, 100 мл, №1; Катетер ентеральний живлячий одноразовий, стерильний, з мітками Fr 4; Катетер ентеральний живлячий одноразовий, стерильний, з мітками Fr 6; Катетер ентеральний живлячий одноразовий, стерильний, з мітками Fr 10; Катетер ентеральний живлячий одноразовий, стерильний, з мітками Fr 30; Катетер ентеральний живлячий одноразовий, стерильний, з мітками Fr 16; Зонд дуоденальний одноразовий, стерильний, з кольоровим маркуванням, розмір : Fr 18, зовнішній діаметр 6 мм, довжина 3000 мм, з позначками контролю глибини, з бічними отворами; Сечоприймач 2000 мл, стерильний</t>
  </si>
  <si>
    <t>Ідентифікатор закупівлі</t>
  </si>
  <si>
    <t>Інструменти для операційних блоків</t>
  </si>
  <si>
    <t>Інтернет-послуги</t>
  </si>
  <si>
    <t>Інтродюсер 6F для трансфеморального доступу, покриття: гідрофільне, з рентгенконтрастним маркером, у комплекті провідник, дилятатор з портом Luer, інтродюсер з клапаном і боковим портом, довжина 110 мм; Катетер внутрішньовенний 24G з додатковим ін`єкційним портом, довжина катетера 19 мм, відкритого типу, без захисного механізму голки, без подовжувача, з рентгенкотрастною смужкою; Катетер внутрішньовенний 26G з додатковим ін`єкційним портом, довжина катетера 19 мм, відкритого типу, без захисного механізму голки, без подовжувача, з рентгенкотрастною смужкою, кольорове докування; Катетер внутрішньовенний 18G з додатковим ін`єкційним портом, довжина катетера 45 мм, відкритого типу, без захисного механізму голки, без подовжувача, з рентгенкотрастною смужкою, кольорове докування; Катетер внутрішньовенний 20G з додатковим ін`єкційним портом, довжина катетера 32 мм, відкритого типу, без захисного механізму голки, без подовжувача, з рентгенкотрастною смужкою; Катетер внутрішньовенний 22G з додатковим ін`єкційним портом, довжина катетера 25 мм, відкритого типу, без подовжувача, без рентгенкотрастної смужки, колорове кодування; Катетер підключичний, розмір 6 Fr, зовнішній діаметр 2,0 мм, робоча довжина 200 мм, полімерний провідник; Катетер Нелатона, стерильний, одноразовий, жіночий, Fr18; Катетер Нелатона, стерильний, одноразовий, жіночий, Fr16; Маска киснева одноразова нестерильна (для дорослих) розмір 2; Маски медичні(крім захисних): Киснева, Одноразова, нестерильна,  Для дорослих, На гумових петлях, з мішком, Розмір: 4, Матеріал: Полівінілхлорид, Клапани(отвори) видиху,  Довжина кисневої трубки 200 см; Маски медичні(крім захисних): одноразові, нестерильні, для дорослих, розмір: 6, матеріал: полівінілхлорид; Сільфон, 500 мл; Сільфон, 350 мл; Шпатель Отоларингологічний стерильний, одноразовий, дерев'яний, не посилений; Дзеркало гінекологічне: тип: Cusco, одноразове, стерильне, матеріал: полімерний матеріал, розмір: M, фіксація: поворотньо-зубчата, з катетером з конектером, з додатковим провідником</t>
  </si>
  <si>
    <t>Інформаційна продукція</t>
  </si>
  <si>
    <t>Інформаційна та рекламна продукція</t>
  </si>
  <si>
    <t>Інформаційне обладнання</t>
  </si>
  <si>
    <t>Інформаційно - консультаційні послуги з питань підприємницької діяльності та управління</t>
  </si>
  <si>
    <t>Інформаційно-консультаційні послуги</t>
  </si>
  <si>
    <t>Інформаційні послуги</t>
  </si>
  <si>
    <t>Інфузійна помпа, Регульована, Ємність, мл: 275, стерильна; Краник трьохходовий, стерильний, одноразовий, з'єднання Luer Lock, без подовжувача; Катетер підключичний, розмір 4 Fr, зовнішній діаметр 1,3 мм, робоча довжина 130 мм, полімерний провідник; Катетер підключичний, розмір 6 Fr, зовнішній діаметр 2,0 мм, робоча довжина 200 мм, полімерний провідник; Маски медичні(крім захисних): одноразові, нестерильні, для дорослих, розмір: 6, матеріал: полівінілхлорид; Затискач для пуповини, стерильний, одноразовий, з поліаміду, №1; Катетер внутрішньовенний 18G з додатковим ін`єкційним портом, довжина катетера 45 мм, відкритого типу, без захисного механізму голки, без подовжувача, з рентгенкотрастною смужкою, кольорове докування; Катетер внутрішньовенний 20G з додатковим ін`єкційним портом, довжина катетера 32 мм, відкритого типу, без захисного механізму голки, без подовжувача, з рентгенкотрастною смужкою; Катетер внутрішньовенний 22G з додатковим ін`єкційним портом, довжина катетера 25 мм, відкритого типу, без захисного механізму голки, без подовжувача, з рентгенкотрастною смужкою; Катетер внутрішньовенний 26G з додатковим ін`єкційним портом, довжина катетера 19 мм, відкритого типу, без захисного механізму голки, без подовжувача, з рентгенкотрастною смужкою, кольорове докування; Катетер внутрішньовенний 24G з додатковим ін`єкційним портом, довжина катетера 19 мм, відкритого типу, без захисного механізму голки, без подовжувача, з рентгенкотрастною смужкою; Набор гінекологічний: склад: дзеркало вагінальне : розмір M - 1 шт.,щіточка гінекологічна цервікальна : 1 шт., пелюшка гігієнічна : 1 шт., бахіли : 1 пара, рукавички медичні : розмір M - 1 пара;; Маска киснева одноразова, нестерильна, розмір :4, доросла; Маска анестезіологічна, розмір: 5, для дорослих, кріплення маски: відсутнє; Катетер пупковий, одноразовий, без додаткового ін'єкційного порту, Fr 6, №1; Маски медичні(крім захисних); Набор гінекологічний: склад: пелюшка гігієнічна : 1 шт., рукавички медичні : розмір M - 1 пара;; Катетери внутрішньовенні: Наявність рентгенкотрастних смужок катетеру, без додаткового ін’єкційного порту, Захисний механізм голки, з подовжувачем, Наявність крилець, Розмір канюлі: 24G, Довжина катетера: 200 мм, Матеріал катетера: PUR(Поліуретан); Набір для катетеризації центральних вен: Одноразовий, Стерильний, 1-канальний, Розмір голки 20 G, Довжина голки 180.0 мм, Розмір катетера 2.0 Fr, Довжина катетера 30.0 см</t>
  </si>
  <si>
    <t>АКЦІОНЕРНЕ ТОВАРИСТВО "ПОЛТАВАОБЛЕНЕРГО"</t>
  </si>
  <si>
    <t>АКЦІОНЕРНЕ ТОВАРИСТВО "ПОЛТАВСЬКИЙ ЗАВОД МЕДИЧНОГО СКЛА"</t>
  </si>
  <si>
    <t>АКЦІОНЕРНЕ ТОВАРИСТВО "СТРАХОВА КОМПАНІЯ "ББС ІНШУРАНС"</t>
  </si>
  <si>
    <t>АКЦІОНЕРНЕ ТОВАРИСТВО "УКРПОШТА"</t>
  </si>
  <si>
    <t>АКЦІОНЕРНЕ ТОВАРИСТВО "УКРТЕЛЕКОМ"</t>
  </si>
  <si>
    <t>АКЦІОНЕРНЕ ТОВАРИСТВО "УКРТЕЛЕКОМ" (ПОЛТАВСЬКА ФІЛІЯ)</t>
  </si>
  <si>
    <t>АКЦІОНЕРНЕ ТОВАРИСТВО "УКРТЕЛЕКОМ" (ХАРКІВСЬКА ФІЛІЯ)</t>
  </si>
  <si>
    <t>АКЦІОНЕРНЕ ТОВАРИСТВО КОМЕРЦІЙНИЙ БАНК "ПРИВАТБАНК"</t>
  </si>
  <si>
    <t>АЛЕКСАНДРЕНКО ІННА МИХАЙЛІВНА</t>
  </si>
  <si>
    <t>АПОСТОЛОВ ВАСИЛЬ ЄВГЕНІЙОВИЧ</t>
  </si>
  <si>
    <t>АУГМЕНТИН ES порошок для оральної суспензії, 600 мг/42,9 мг/5 мл; 1 флакон  100 мл; ЦЕФОДОКС  порошок для 50 мл оральної суспензії (100 мг/5 мл); 1 флакон з порошком з ложкою-дозатором у картонній коробці; КЛІНДАМІЦИН-М  капсули по 0,15 г по 10 капсул у блістері; по 1 блістеру в пачці з картону; СИНДРЕКС®  концентрат для розчину для інфузій по 5 мл в ампулі, амп.№1+амп.№2 №6; АНТРАЛЬ®</t>
  </si>
  <si>
    <t>Абсорбент вуглекислого газу</t>
  </si>
  <si>
    <t>Автоматизоване робоче місце (АРМ) № 1 у комплекті; Автоматизоване робоче місце (АРМ) №2  у комплекті</t>
  </si>
  <si>
    <t xml:space="preserve">Автоматична система культивування крові ; Мікробіологічний аналізатор </t>
  </si>
  <si>
    <t>Автошини</t>
  </si>
  <si>
    <t>Аксесуари до робочого одягу</t>
  </si>
  <si>
    <t>Акумулятор</t>
  </si>
  <si>
    <t xml:space="preserve">Акумулятор LogicPower LP LiFePo4 25.6V-100 Ah BMS 80A/80A Smart BT 30143 </t>
  </si>
  <si>
    <t>Акумуляторні батареї</t>
  </si>
  <si>
    <t>Акустичні пристрої</t>
  </si>
  <si>
    <t>Альтеплаза ліофілізат для розчину для інфузій по 50 мг флакон; Фітоменадіон, розчин для ін'єкцій, 10 мг/мл, по 1 мл; Еноксапарин натрію, розчин для ін'єкцій, 10000 анти-Ха МО/мл, по 1,0 мл</t>
  </si>
  <si>
    <t>Аналізатор гематологічний автоматичний</t>
  </si>
  <si>
    <t>Аналізатори біохімічні  (фотометри); Аналізатори електролітів крові; Аналізатори хемілюмінесцентні імунологічні; Ареометри для урини АУ; Білірубінометри; Ваги для зважування до 20 кг; Ваги для зважування до 500 кг; Гематологічні аналізатори; Гігрометри психрометричні; Глюкометри; Дефібрилятори; Дозатори піпеткові (за один канал); Електрод; Електрокардіографи; Інфрачервоні термометри безконтактні; Монітори пацієнта; Напівавтоматичні 2х канальні коагулометри; Пульсоксиметри; рН-метр; Сфігмоманометри механічні; Термометри; УЗД-апарати; Фетальні монітори; Манометри електроконтактні; Мановакуумметри; Манометри до 60 МПа технічні; Добові монітори артеріального тиску; Секундомір механічний 60 хв; Аналізатори глюкози та лактату  крові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</si>
  <si>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Антисептики та рідкі форми дезінфікуючих засобів</t>
  </si>
  <si>
    <t>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таблетовані); Дезинфекційні засоби (порошкоподібні та таблетовані);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Антисептики та рідкі форми дезінфікуючих засобів; Дезинфекційні засоби (порошкоподібні та таблетовані)</t>
  </si>
  <si>
    <t>Апарат штучної вентиляції легень ; Апарат штучної вентиляції легень з функцією високочастотної осциляторної вентиляції у новонароджених та дітей</t>
  </si>
  <si>
    <t>Апаратура для радіотерапії, механотерапії, електротерапії та фізичної терапії</t>
  </si>
  <si>
    <t>Арматура трубопровідна: крани, вентилі, клапани та подібні пристрої</t>
  </si>
  <si>
    <t>Архівні послуги</t>
  </si>
  <si>
    <t>Архівні стелажі</t>
  </si>
  <si>
    <t>Архітектурні, інженерні та планувальні послуги</t>
  </si>
  <si>
    <t>Аспіратор медичний</t>
  </si>
  <si>
    <t>Аспіраційний набір для тромбектомії з помпою</t>
  </si>
  <si>
    <t>Б-03/25</t>
  </si>
  <si>
    <t>БІЛОНУЧКІНА ТЕТЯНА ВОЛОДИМИРІВНА</t>
  </si>
  <si>
    <t>БАТРАК ПОЛІНА СЕРГІЇВНА</t>
  </si>
  <si>
    <t>БП-103-1/25</t>
  </si>
  <si>
    <t>БП-103/25</t>
  </si>
  <si>
    <t>БП-62/25</t>
  </si>
  <si>
    <t>БРАТІШКО ЛЮДМИЛА ІВАНІВНА</t>
  </si>
  <si>
    <t>Бавовняні тканини</t>
  </si>
  <si>
    <t>Балон вуглекислотний</t>
  </si>
  <si>
    <t>Бахіли медичні, Низькі, матеріал: Поліетилен, кріплення: Гумки(Резинки), нестерильні, щільність матеріалу: 8-12 г/м2; Шапочка медична одноразова зі спанбонду, нестерильна, розмір універсальний, на резинці; Шапочка медична одноразова зі спанбонду, стерильна, розмір універсальний, на резинці; Одяг медичний, стерильний, жіночий, довгий рукав, без застібки, щільність від 50 г/м², довжина 24 см; Одяг медичний: Одноразовий, Горловина: Виріз круглий, стерильний, Розмір: Універсальний, Вид виробу за довжиною: Середній, Рукав: Довгий, Стать: Дитячий, Щільність матеріалу від 50 г/м², Довжина 24-30 см, Тип: Комплект, без застібки; Фартух медичний одноразовий: Захист передньої і бічних частин тіла, водонепроникний, ламінований спанбонд, індевідуальне пакування; Халат хірургічний, одноразовий, стерильний, розмір L (50-52); Халат медичний захисний комбінований, одноразовий, стерильний, розмір L (50-52); Одяг медичний: Матеріал: СМС, Одноразовий, Горловина: Виріз круглий, нестерильний, Розмір: L (50-52), Довжина Середня, Рукав: Довгий, Стать: Універсальний, Щільність матеріалу, г/м²: 35-100, Довжина 130-150 см, Халат для пацієнта, на кнопках</t>
  </si>
  <si>
    <t>Безперебійник Smart-UPS 3000PRO АКб 72 V 9Ah (3000/2700Вт)</t>
  </si>
  <si>
    <t>Бензин А-95 (талони) талони номіналом 10 л та/або 20 л; Дизельне паливо (талони) талони номіналом 10 л та/або 20 л</t>
  </si>
  <si>
    <t>Бензинові  фільтри</t>
  </si>
  <si>
    <t>Беркетов Ігор Олександрович</t>
  </si>
  <si>
    <t>Бланки</t>
  </si>
  <si>
    <t>Бланки облікової документації</t>
  </si>
  <si>
    <t xml:space="preserve">Бланки облікової документації </t>
  </si>
  <si>
    <t>Бланки; Бланки; Бланки</t>
  </si>
  <si>
    <t>Бойлер</t>
  </si>
  <si>
    <t>Будівельний камінь</t>
  </si>
  <si>
    <t>Будівельні прути, стрижні, дроти та профілі</t>
  </si>
  <si>
    <t>Будівельні товари</t>
  </si>
  <si>
    <t>Буклети</t>
  </si>
  <si>
    <t>Буняк Павло Борисович</t>
  </si>
  <si>
    <t>ВІДДІЛ УРЯДОВОГО ФЕЛЬД'ЄГЕРСЬКОГО ЗВ'ЯЗКУ ДЕРЖАВНОЇ СЛУЖБИ СПЕЦІАЛЬНОГО ЗВ'ЯЗКУ ТА ЗАХИСТУ ІНФОРМАЦІЇ УКРАЇНИ В МІСТІ ПОЛТАВІ</t>
  </si>
  <si>
    <t>ВАСИЛЕНКО ОЛЕНА ОЛЕКСАНДРІВНА</t>
  </si>
  <si>
    <t>ВЛ-201/24</t>
  </si>
  <si>
    <t>ВЛ-248/25</t>
  </si>
  <si>
    <t>ВЛАСЕНКО ОЛЕНА БОРИСІВНА</t>
  </si>
  <si>
    <t>ВОРОБЕЙ ЮЛІЯ ВІКТОРІВНА</t>
  </si>
  <si>
    <t>Ваги електронні</t>
  </si>
  <si>
    <t xml:space="preserve">Ваги електронні </t>
  </si>
  <si>
    <t>Ваги електронні для немовлят</t>
  </si>
  <si>
    <t>Вапняк, гіпс і крейда</t>
  </si>
  <si>
    <t>Вивантажено перші 1000 записів. Якщо вам потрібно більше, уточніть пошуковий запит за допомогою фільтрів</t>
  </si>
  <si>
    <t>Використані небезпечно гострі предмети і медичні вироби (наприклад, голки, шприци з одягненою голкою, скальпелі та їхні леза, битий скляний посуд, внутрішньовенні катетери, ланцети для забору крові  Відходи, збирання та видалення яких обумовлено спеціальними вимогами для запобігання виникненню інфекції  18 01 03* ; Інфекційно небезпечні відходи (медичні вироби і предмети, забруднені імунобіологічними лікарськими засобами, кров’ю та/або іншими біологічними рідинами (кисневі маски, шприци без надітої голки), використані ЗІЗ)     Відходи, збирання та видалення яких обумовлено спеціальними вимогами для запобігання виникненню інфекції  18 01 03*; Імунобіологічні  лікарські засоби, із закінченим строком придатності, із візуально зміненими характеристиками      Відходи, збирання та видалення яких обумовлено спеціальними вимогами для запобігання виникненню інфекції    18 01 03*; Цитотоксичні та цитостатичні лікарські  препарати  із закінченим строком придатності, із візуально зміненими характеристиками      Цитотоксичні та цитостатичні лікарські препарати   18 01 08*; Відпрацьовані люмінесцентні лампи, енергозберігаючі, бактерицидні.  Люмінесцентні лампи та інші ртуть вмісні  відходи   20 01 21*</t>
  </si>
  <si>
    <t>Вироби для ванної кімнати та кухні</t>
  </si>
  <si>
    <t>Вироби домашнього текстилю</t>
  </si>
  <si>
    <t>Вироби з нетканих матеріалів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</si>
  <si>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 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</si>
  <si>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Виявлення бактерій родини Enterobacteriaceae  (збудники інфекційних захворювань, в т.ч. патогенні ентеробактерії), патогенні мікроорганізми, в т.ч.  Salmonella в зразку клінічного матеріалу (профілактика); Виявлення бактерій родини Enterobacteriaceae (збудники інфекційних захворювань, в т.ч. патогенні та умовно патогенні ентеробактерії) у зразку клінічного матеріалу; Виявлення мікроорганізмів роду Staphуlococcus в т.ч. S.aureus у зразку клінічного матеріалу (профілактика); Виявлення мікроорганізмів роду псевдомонади в т.ч. P.aeruginosae у зразку харчових продуктів, воді,  продовольчій сировині та в  інших об'єктах середовища  життєдіяльності людини; Виявлення мікроорганізмів роду Proteus у зразку  харчових продуктів, продовольчій сировині та в інших об'єктах середовища життєдіяльності людини; Виявлення ентерококів у зразку харчових продуктів, продовольчій сировині та в інших об'єктах середовища життєдіяльності людини у; Виявлення дріжджів та дріжджеподібних грибів роду Сandida, пліснявих грибів у зразку клінічного матеріалу; Виявлення бактерій групи кишкової палички (БГКП) у змивах з об’єктів середовища життєдіяльності людини ; Визначення специфічних антитіл  до збудників інфекційних хвороб в сироватці крові методом імуноферментного аналізу; Встановлення родини, роду, виду, біотипу, серотипу  мікроорганізмів роду Neisseria, Streptococcus, Haemophilus  та інших збудників бактеріальних менінгітів, підтвердження та ідентифікація виділених культур, у зразках клінічного матеріалу</t>
  </si>
  <si>
    <t>Вогнезахисна обробка дерев'яних конструкцій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</si>
  <si>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</t>
  </si>
  <si>
    <t>Водню пероксиду розчин 6%, 400 мл; Вазелінова олія для зовнішнього застосування стерильна 10 г; Натрію хлорид 100мг/мл, розчин для інфузій  400 мл; Формаліну розчин 10%, 400 мл; Водню пероксиду розчин 3%, 200 мл</t>
  </si>
  <si>
    <t>Водопровідне обладнання</t>
  </si>
  <si>
    <t>Водопровідне обладнання різне</t>
  </si>
  <si>
    <t>Водопровідні та санітарно-технічні роботи</t>
  </si>
  <si>
    <t>Встановлення електричного обладнання</t>
  </si>
  <si>
    <t>Встановлення систем охоронної сигналізації</t>
  </si>
  <si>
    <t>Встановлення систем пожежної сигналізації</t>
  </si>
  <si>
    <t>Відеоларингоскоп</t>
  </si>
  <si>
    <t>Відро для сміття пластикове з педаллю сіре (червоне маркування) 70 л; Відро для сміття пластикове сіре (зелене маркування) 70 л (скло); Відро для сміття пластикове сіре (жовте маркування) 70 л (пластик); Відро для сміття пластикове сіре (синє маркування) 70 л (папір) ; Відро для сміття пластикове сіре (коричневе маркування) 70 л (органіка); БІОБОКС 10 л+; БІОБОКС 25 л+; БІОБОКС 50 л+; БІОБОКС 5 л+++; БІОБОКС 10 л+++</t>
  </si>
  <si>
    <t>Відшкодування витрат на надання комунальних послуг оренди приміщень</t>
  </si>
  <si>
    <t>ГЛУШКОВ ОЛЕКСІЙ ЄВГЕНОВИЧ</t>
  </si>
  <si>
    <t>ГОРДІЄНКО ОЛЕНА ЛЕОНІДІВНА</t>
  </si>
  <si>
    <t>ГРИГОРЕНКО РОМАН ОЛЕКСАНДРОВИЧ</t>
  </si>
  <si>
    <t>Газетний папір, папір ручного виготовлення та інший некрейдований папір або картон для графічних цілей</t>
  </si>
  <si>
    <t>Гальванічні елементи</t>
  </si>
  <si>
    <t>Гелій рідкий для заправки МРТ магнітно-резонансного томографу MAGNETOM Altea (s/n 190711); Гелій стиснений 99,99 об.%</t>
  </si>
  <si>
    <t>Головка камери</t>
  </si>
  <si>
    <t>Готові текстильні вироби</t>
  </si>
  <si>
    <t>Гравій, пісок, щебінь і наповнювачі</t>
  </si>
  <si>
    <t>Гужові чи ручні вози, інші транспортні засоби з немеханічним приводом, багажні вози та різні запасні частини</t>
  </si>
  <si>
    <t>Гумові вироби</t>
  </si>
  <si>
    <t>Гімнастичний інвентар</t>
  </si>
  <si>
    <t>ДЕЛІЯ В'ЯЧЕСЛАВ МИКОЛАЙОВИЧ</t>
  </si>
  <si>
    <t>ДЕРЖАВНА УСТАНОВА "ІНСТИТУТ МЕДИЧНОЇ РАДІОЛОГІЇ ТА ОНКОЛОГІЇ ІМ. С.П. ГРИГОР'ЄВА НАЦІОНАЛЬНОЇ АКАДЕМІЇ МЕДИЧНИХ НАУК УКРАЇНИ"</t>
  </si>
  <si>
    <t>ДЕРЖАВНА УСТАНОВА "ПОЛТАВСЬКИЙ ОБЛАСНИЙ ЦЕНТР КОНТРОЛЮ ТА ПРОФІЛАКТИКИ ХВОРОБ МІНІСТЕРСТВА ОХОРОНИ ЗДОРОВ'Я УКРАЇНИ"</t>
  </si>
  <si>
    <t xml:space="preserve">ДЕРЖАВНА УСТАНОВА "ПОЛТАВСЬКИЙ ОБЛАСНИЙ ЦЕНТР КОНТРОЛЮ ТА ПРОФІЛАКТИКИ ХВОРОБ МІНІСТЕРСТВА ОХОРОНИ ЗДОРОВ'Я УКРАЇНИ" </t>
  </si>
  <si>
    <t>ДЕРЖАВНЕ ПІДПРИЄМСТВО "ВСЕУКРАЇНСЬКИЙ ДЕРЖАВНИЙ НАУКОВО-ВИРОБНИЧИЙ ЦЕНТР СТАНДАРТИЗАЦІЇ, МЕТРОЛОГІЇ, СЕРТИФІКАЦІЇ ТА ЗАХИСТУ ПРАВ СПОЖИВАЧІВ"</t>
  </si>
  <si>
    <t>ДЕРЖАВНЕ ПІДПРИЄМСТВО "ДЕРЖАВНЕ УПРАВЛІННЯ КОМПЛЕКСНОГО ЗАБЕЗПЕЧЕННЯ"</t>
  </si>
  <si>
    <t>ДЕРЖАВНЕ ПІДПРИЄМСТВО "КИЇВСЬКИЙ ОБЛАСНИЙ НАУКОВО-ВИРОБНИЧИЙ ЦЕНТР СТАНДАРТИЗАЦІЇ, МЕТРОЛОГІЇ ТА СЕРТИФІКАЦІЇ"</t>
  </si>
  <si>
    <t>ДЕРЖАВНЕ ПІДПРИЄМСТВО "ПОЛТАВСЬКИЙ РЕГІОНАЛЬНИЙ НАУКОВО-ТЕХНІЧНИЙ ЦЕНТР СТАНДАРТИЗАЦІЇ, МЕТРОЛОГІЇ ТА СЕРТИФІКАЦІЇ"</t>
  </si>
  <si>
    <t>ДЕРЖАВНЕ ПІДПРИЄМСТВО ЗОВНІШНЬОЕКОНОМІЧНОЇ ДІЯЛЬНОСТІ "УКРІНТЕРЕНЕРГО"</t>
  </si>
  <si>
    <t>ДОБРОВОЛЬСЬКИЙ ВОЛОДИМИР СТАНІСЛАВОВИЧ</t>
  </si>
  <si>
    <t>ДОРОГОБІД ВІТАЛІЙ ВАЛЕРІЙОВИЧ</t>
  </si>
  <si>
    <t>ДОЧІРНЄ ПІДПРИЄМСТВО "ОПТИМАЛ-МТ"</t>
  </si>
  <si>
    <t>ДП "ПОЛТАВАСТАНДАРТМЕТРОЛОГІЯ"</t>
  </si>
  <si>
    <t>Дермантин</t>
  </si>
  <si>
    <t xml:space="preserve">Детектори </t>
  </si>
  <si>
    <t>Детектори та аналізатори</t>
  </si>
  <si>
    <t>Добавка білкова дитяча</t>
  </si>
  <si>
    <t>Договір діє до:</t>
  </si>
  <si>
    <t>Договір діє з:</t>
  </si>
  <si>
    <t>Допоміжне екіпірування</t>
  </si>
  <si>
    <t>Доступ до комп'ютерної програми "Система СІЕТ-MedControl"</t>
  </si>
  <si>
    <t>Доступ до онлайн сервісів та оновлення програмної продукції</t>
  </si>
  <si>
    <t>Доступ до онлайн-сервісів  з правом користування програмною продукцією – інформаційно-комунікаційною системою «Хелсі» (МІС)</t>
  </si>
  <si>
    <t>Доступ до онлайн-сервісів з правом користування програмною продукцією – інформаційно-комунікаційною системою «Хелсі» (МІС)</t>
  </si>
  <si>
    <t>Дочірнє підприємство "ОПТИМАЛ-МТ"</t>
  </si>
  <si>
    <t>Дренажі: Торокальний, З металевим троакаром, Розмір дренажа 20.0 Fr, Стерильність, Кольорове кодування, Ренгеноконтрасна смужка вздовж усієї трубки, Матеріал виготовлення: Прозорий термопластичний ПВХ, Довжина трубки: 350-400 міліметр; Дренажі: Кера, Розмір дренажа, Fr: 15, Стерильний, Матеріал виготовлення: Латекс, Довжина трубки: 300-350 міліметр, Ширина стрічки: 5 міліметр, Об'єм резервуара: 100-150 мілілітр; Дренаж типу «Редон» (адаптер Жане) Fr 15, стеильний, з кольоровим кодуванням, ренгеноконтрасна смужка вздовж усієї трубки, з ПВХ, довжиною 500 мм.; Дренаж типу «Редон» (адаптер Жане) Fr 18, стеильний, з кольоровим кодуванням, ренгеноконтрасна смужка вздовж усієї трубки, з ПВХ, довжиною 500 мм.; Дренаж типу «Редон» (адаптер Жане) Fr 24, стерильний, з кольоровим кодуванням, ренгеноконтрасна смужка вздовж усієї трубки, з ПВХ, довжиною 500 мм.; Контейнер для забору сечі, з градуюванням, 200 мл; Контейнер для забору сечі стерильний з градуюванням, не стійкий до автоклавування, 60 мл, №1; Катетер ентеральний живлячий одноразовий, стерильний, з мітками Fr 15; Катетер ентеральний живлячий, стерильний, одноразовий, з мітками, розмір Fr 18, 1200 мм; Катетер ентеральний живлячий одноразовий, стерильний, з мітками Fr 30; Катетер Фолея: урологічний, двоканальний (2-ходовий), розмір 14 Fr, об’єм балона 30 мл, довжина 400 мм, матеріал латекс, одноразовий, стерильний; Катетер Фолея: урологічний, двоканальний (2-ходовий), розмір 16 Fr, об’єм балона 30 мл, довжина 400 мм, матеріал латекс, одноразовий, стерильний; Катетер Фолея: урологічний, двоканальний (2-ходовий), розмір 18 Fr, об’єм балона 30 мл, довжина 400 мм, матеріал латекс, одноразовий, стерильний; Катетер Фолея трьохканальний (3-ходовий), розмір 22 Fr, об’єм балона 30 мл, довжина 400-450 мм, одноразовий, стерильний; Катетер Фолея: урологічний, трьохканальний (3-ходовий), розмір 22 Fr, об’єм балона 30-40 мл, довжина 400-420 мм, матеріал силікон, одноразовий, стерильний; Катетер Фолея трьохканальний (3-ходовий), розмір 24 Fr, об’єм балона 30 мл, довжина 400-450 мм, одноразовий, стерильний; Сечоприймач 2000 мл, стерильний; Сечоприймач активного носіння, педіатричний, одноразовий, стерильний, для дівчаток, 100 мл, №1; Сечоприймач активного носіння, педіатричний, одноразовий, стерильний, для хлопчиків, 100 мл, №1; Сечоприймач активного носіння, для дорослих, одноразовий, стерильний, універсальний, 750 мл</t>
  </si>
  <si>
    <t>Друкована продукція</t>
  </si>
  <si>
    <t>Друкована продукція з елементами захисту</t>
  </si>
  <si>
    <t>Друкована продукція на замовлення</t>
  </si>
  <si>
    <t>Дьяченко Олександра Сергіївна</t>
  </si>
  <si>
    <t xml:space="preserve">Діагностичний моноклональний Реагент анти – А; Діагностичний моноклональний Реагент анти – В; Діагностичний моноклональний Реагент анти – D; Набір для визначення СРБ латекс-тест; Філісіт-КетоСкрин; Прокальцитонін РСТ, для визначення (25 тестів/набір); Реагент Diluent Dil-C (20 л); Реагент Cleanser CLE-P (50 мл); Контроль норма контрольні капсули (помаранчеві); Системний розчин Senso StarGLHsix ; Капсули для зразків SensoStar GLHsix 10/500 Hb; Стандарт ФС калібрувальні капсули (зелені)1*100 шт; Контроль патологія контрольні капсули (червоні); Системний розчин для глюкози ; Набір реагентів "Забарвлення за Грамом"; Диски з ванкоміцином 5мкг  №100; Диски з ванкоміцином 30мкг  №100; Диски з гентаміцином 10 мкг  №100; Диски з еритроміцином 15 мкг  №100; Диски з лінезолідом  10 мкг  №100; Диски з пеніциліном 1 ОД  №100; Диски з кліндаміцином 2 мкг  №100; Диски з ципрофлоксацином 5 мкг   №100; Диски з тайгецикліном 15 мкг  №100; Диски з нітрофурантоїном 100мкг  №100; Диски з тікарциліном та клав улан. к-та 75/10 мкг  №100; Набір для визначення глюкози МОНО-400мл; Емульсія яєчного жовтка 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</si>
  <si>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D; Розчин імідазолу Dia-IMIDAZOL або еквівалент</t>
  </si>
  <si>
    <t>Ділюент Diatro Dil-DIFF або еквівалент ; Лізуючий реагент Diatro Lyse-DIFF або еквівалент; Очищуючий розчин Diatro Cleaner або еквівалент; Промивний розчин Diatro Hypoclean або еквівалент; Контроль гематологічний Diacon 3 низький або еквівалент; Контроль гематологічний Diacon 3 норма або еквівалент; Контроль гематологічний Diacon 3 високий або еквівалент; Альбумін або еквівалент; Білірубін загальний або еквівалент; Білірубін прямий або еквівалент; Загальний білок або еквівалент; Креатинін або еквівалент; Сечовина або еквівалент; Аланінамінотрансфераза або еквівалент; Аспартатамінотрансфераза або еквівалент; Амілаза або еквівалент; Гамма-глутамілтрансфераза або еквівалент; Лактатдегідрогеназа або еквівалент; Сечова кислота або еквівалент; Лужна фосфатаза або еквівалент; Кальцій або еквівалент; Магній або еквівалент; Фосфор або еквівалент; ЛПВГ прямий метод або еквівалент; ЛПНГ прямий метод або еквівалент; Тригліцериди або еквівалент; Холестерин або еквівалент; Мультикалібратор або еквівалент; Контрольна сироватка рівень 1 або еквівалент; Контрольна сироватка рівень 2 або еквівалент; Очищуючий розчин або еквівалент; Добавка до очисного розчину або еквівалент; Набір для очищення кювет  або еквівалент; Реакційні кювети ; Протромбіновий час, рідкий Dia-PT liquid або еквівалент; АЧТЧ, рідкий DIA-PTT Liquid або еквівалент; Кальцію хлорид 0.025М Dia-CaCl2 або еквівалент; Фібриноген Dia-FIB або еквівалент; Контрольна плазма Dia-ControL I-II або еквівалент; Кювети Coag D або еквівалент; Розчин імідазолу Dia-IMIDAZOL або еквівалент</t>
  </si>
  <si>
    <t>Діоксид вуглецю</t>
  </si>
  <si>
    <t>Едоксакорд таблетки, вкриті плівковою оболонкою по 60 мг; по 10 таблеток у блістері; по три блістери у пачці</t>
  </si>
  <si>
    <t>Експлуатаційні та інші послуги, пов’язані з утриманням приміщення та прибудинкової території в належному стані</t>
  </si>
  <si>
    <t>Експлуатування систем водопостачання</t>
  </si>
  <si>
    <t>Електрична апаратура для комутування та захисту електричних кіл</t>
  </si>
  <si>
    <t>Електрична енергія</t>
  </si>
  <si>
    <t>Електрична енергія, без розподілу</t>
  </si>
  <si>
    <t>Електричне приладдя</t>
  </si>
  <si>
    <t>Електричне приладдя та супутні товари до електричного обладнання</t>
  </si>
  <si>
    <t>Електричні акумулятори</t>
  </si>
  <si>
    <t>Електричні лампи розжарення</t>
  </si>
  <si>
    <t>Електричні побутові прилади</t>
  </si>
  <si>
    <t>Електричні інструменти</t>
  </si>
  <si>
    <t xml:space="preserve">Електрод - ріжуча петля </t>
  </si>
  <si>
    <t>Електрод-присоска грудний Ag/AgCl D.24 мм; Електроди-прищіпки для дорослих; Кабель пацієнта на 10 відведень; Електрод для моніторінгу  на зпіненій основі з липким гелем</t>
  </si>
  <si>
    <t>Електродвигуни</t>
  </si>
  <si>
    <t>Електроди</t>
  </si>
  <si>
    <t>Електроенцефалограф</t>
  </si>
  <si>
    <t>Електромонтажні роботи</t>
  </si>
  <si>
    <t>Електронне обладнання</t>
  </si>
  <si>
    <t>Електронне приладдя</t>
  </si>
  <si>
    <t>Електронні ваги</t>
  </si>
  <si>
    <t>Електронні комунікаційні послуги</t>
  </si>
  <si>
    <t xml:space="preserve">Електронні комунікаційні послуги </t>
  </si>
  <si>
    <t>Електронні інформаційні послуги</t>
  </si>
  <si>
    <t>Електророзподільні кабелі</t>
  </si>
  <si>
    <t>Елементи електричних схем</t>
  </si>
  <si>
    <t>Жалюзі</t>
  </si>
  <si>
    <t>Журнали</t>
  </si>
  <si>
    <t>Журнали реєстрації</t>
  </si>
  <si>
    <t>Замки, ключі та петлі</t>
  </si>
  <si>
    <t>Запасні автозапчастини для швидкої допомоги</t>
  </si>
  <si>
    <t>Запасні частини для автотранспорту лікарні</t>
  </si>
  <si>
    <t>Запасні частини до вантажних транспортних засобів, фургонів та легкових автомобілів</t>
  </si>
  <si>
    <t>Запасні частини до магнітно-резонансного томографу MAGNETOM Altea</t>
  </si>
  <si>
    <t>Запасні частини до медичного обладнання</t>
  </si>
  <si>
    <t>Запасні частини різні</t>
  </si>
  <si>
    <t xml:space="preserve">Записувальні прилади </t>
  </si>
  <si>
    <t>Заправка /відновлення картриджів</t>
  </si>
  <si>
    <t>Засоби гігієни</t>
  </si>
  <si>
    <t>Засоби гігієни (мило рідке)</t>
  </si>
  <si>
    <t>Засоби для ароматизації та дезодорування приміщень</t>
  </si>
  <si>
    <t>Засоби для догляду за руками</t>
  </si>
  <si>
    <t>Засіб для дезінфекції рук, шкіри, поверхонь та медичних виробів   Засіб дезінфікуючий «АХД 2000 експрес (AHD 2000 express)»)" або еквівалент; Засіб дезінфікуючий для миття рук Засіб для дезінфекції рук «Санісофт (Sanisoft)» або еквівалент; Засіб дезінфікуючий для дезінфекції та очищення виробів медичного призначення «Аеродезин (Aerodesin)» або еквівалент; «Скінцид (SKINCID)» для інтраопераційної обробки шкіри або еквівалент  ; Засіб дезінфікуючий для дезінфекції, достерилізаційного очищення виробів медичного призначення «Бланідас 300 (Blanidas 300)» (таблетки) або еквівалент; Засіб дезінфікуючий для дезінфекції виробів медичного призначення «Дезеліт (Dezelit)» або еквівалент; Засіб дезінфікуючий для дезінфекції, достерилізаційного очищення та стерилізації виробів медичного призначення «Бланідас Актив (Blanidas Active)» або еквівалент; Серветки для дезінфекції та очищення медичних виробів «АХД 2000 експрес (AHD 2000 express)»; Засіб для обробки та маркування  шкіри операційного поля «Віраксол оптіма», 1л  або еквівалент; Засіб для дезінфекції поверхонь приміщень, обладнання,  для суміщених процесів дезінфекції та достерилізаційного очищення  виробів медичного призначення  «Хлор оптіма (Chlor optima)», 1кг або еквівалент; Дезінфекційний засіб для проведення швидкої дезінфекції «БактеріоДез квік» (серветки), 100 шт або еквівалент; Ферментативний засіб для передстерилізаційного очищення виробів медичного призначення  «Гігазім (Gigazyme)», 2л або еквівалент; Засіб дезінфекційний  для достерилізаційного очищення, миття та дезінфекції  «Екозим (Ecozyme)», 1 кг з мірною ложкою або еквівалент; Засіб дезінфекційний для достерилізаційного очищення, миття засіб дезінфекційний «Бактеріозим», 1л або еквівалент; Розчин дезінфекційний  «АКТОСЕД ЕНДО (ACTOSED ENDO)», 5л або еквівалент; Засіб для дезінфекції, достерилізаційного очищення, дезінфекції високого рівня та стерилізації, генеральних прибирань   «БактеріоДез актив» 1,5 кг з мірною ложкою або еквівалент; Антисептичний засіб для гігієнічної та хірургічної обробки рук персоналу «СефДез оптіма (SefDes Optima)», 1л або еквівалент; Засіб дезінфікуючий «Біонол» або еквівалент; Засібдля холодної стерилізації медичних виробів у вигляді концентрату АДАСПОР ПЛЮС М КОНЦЕНТРОВАНИЙ 1,44 л комплект, або еквівалент</t>
  </si>
  <si>
    <t>Зведення огорож, монтаж поручнів і захисних засобів</t>
  </si>
  <si>
    <t>Звіт створено 1 червня о 09:16 з використанням http://zakupivli.pro</t>
  </si>
  <si>
    <t>Знаки поштової оплати</t>
  </si>
  <si>
    <t>Знаряддя</t>
  </si>
  <si>
    <t>Зошити</t>
  </si>
  <si>
    <t>ИЦГ046075</t>
  </si>
  <si>
    <t>КОЖЕВНІКОВ МАКСИМ ВАЛЕНТИНОВИЧ</t>
  </si>
  <si>
    <t>КОЗИРКОВА ОЛЕНА ПЕТРІВНА</t>
  </si>
  <si>
    <t>КОМУНАЛЬНЕ ПІДПРИЄМСТВО "1-А МІСЬКА КЛІНІЧНА ЛІКАРНЯ ПОЛТАВСЬКОЇ МІСЬКОЇ РАДИ"</t>
  </si>
  <si>
    <t>КОМУНАЛЬНЕ ПІДПРИЄМСТВО "ОБЛАСНИЙ ЗАКЛАД З НАДАННЯ ПСИХІАТРИЧНОЇ ДОПОМОГИ ПОЛТАВСЬКОЇ ОБЛАСНОЇ РАДИ"</t>
  </si>
  <si>
    <t>КОМУНАЛЬНЕ ПІДПРИЄМСТВО "ПОЛТАВСЬКА ОБЛАСНА КЛІНІЧНА ЛІКАРНЯ ІМ. М.В.СКЛІФОСОВСЬКОГО ПОЛТАВСЬКОЇ ОБЛАСНОЇ РАДИ"</t>
  </si>
  <si>
    <t>КОМУНАЛЬНЕ ПІДПРИЄМСТВО "ПОЛТАВСЬКИЙ ОБЛАСНИЙ КЛІНІЧНИЙ ПРОТИТУБЕРКУЛЬОЗНИЙ ДИСПАНСЕР ПОЛТАВСЬКОЇ ОБЛАСНОЇ РАДИ"</t>
  </si>
  <si>
    <t>КОМУНАЛЬНЕ ПІДПРИЄМСТВО "ПОЛТАВСЬКИЙ ОБЛАСНИЙ ЦЕНТР ТЕРАПІЇ ЗАЛЕЖНОСТЕЙ ПОЛТАВСЬКОЇ ОБЛАСНОЇ РАДИ"</t>
  </si>
  <si>
    <t>КОМУНАЛЬНЕ ПІДПРИЄМСТВО "СПЕЦКОМБІНАТ ПОХОРОННО-РИТУАЛЬНОГО ОБСЛУГОВУВАННЯ"</t>
  </si>
  <si>
    <t>КОМУНАЛЬНЕ ПІДПРИЄМСТВО "ЦЕНТР ПЕРВИННОЇ МЕДИКО-САНІТАРНОЇ ДОПОМОГИ №2 ПОЛТАВСЬКОЇ МІСЬКОЇ РАДИ"</t>
  </si>
  <si>
    <t>КОМУНАЛЬНЕ ПІДПРИЄМСТВО ПОЛТАВСЬКОЇ ОБЛАСНОЇ РАДИ "ПОЛТАВАВОДОКАНАЛ"</t>
  </si>
  <si>
    <t>КОМУНАЛЬНЕ ПІДПРИЄМСТВО ПОЛТАВСЬКОЇ ОБЛАСНОЇ РАДИ "ПОЛТАВАФАРМАЦІЯ"</t>
  </si>
  <si>
    <t>КОМУНАЛЬНЕ ПІДПРИЄМСТВО ПОЛТАВСЬКОЇ ОБЛАСНОЇ РАДИ "УЧБОВО-КУРСОВИЙ КОМБІНАТ ЖИТЛОВО-КОМУНАЛЬНОГО ГОСПОДАРСТВА "</t>
  </si>
  <si>
    <t>КОМУНАЛЬНИЙ ЗАКЛАД ОСВІТИ ПОЛТАВСЬКИЙ БАЗОВИЙ МЕДИЧНИЙ ФАХОВИЙ КОЛЕДЖ ПОЛТАВСЬКОЇ ОБЛАСНОЇ РАДИ</t>
  </si>
  <si>
    <t>КОРНІЙЧУК МИХАЙЛО МИХАЙЛОВИЧ</t>
  </si>
  <si>
    <t>КУЖИМ ВІТАЛІЙ ВОЛОДИМИРОВИЧ</t>
  </si>
  <si>
    <t>КУЗЄНКОВ РОМАН ВІКТОРОВИЧ</t>
  </si>
  <si>
    <t>Кабелі та супутня продукція</t>
  </si>
  <si>
    <t>Камери відеоспостереження</t>
  </si>
  <si>
    <t>Кам’яна сіль</t>
  </si>
  <si>
    <t>Каналізаційне обладнання</t>
  </si>
  <si>
    <t>Каналізаційні системи</t>
  </si>
  <si>
    <t xml:space="preserve">Капітальний ремонт автомобіля </t>
  </si>
  <si>
    <t>Картридж</t>
  </si>
  <si>
    <t>Картридж Canon 725</t>
  </si>
  <si>
    <t>Картридж Epson 103</t>
  </si>
  <si>
    <t>Катетер аспіраційний:  порожнинний, Стерильний, Одноразовий, Розмір, Fr: 12.00 одиниця, Довжина: 500-600 міліметр, З вакуум-контролем великим пальцем (перехідник з двома отворами, одне з яких має заглушку); Катетер аспіраційний:  порожнинний, Стерильний, Одноразовий, Розмір, Fr: 18.00 одиниця, Довжина: 500-600 міліметр, З вакуум-контролем великим пальцем (перехідник з двома отворами, одне з яких має заглушку)</t>
  </si>
  <si>
    <t>Катетер для довготривалого венозного доступу поліуретановий, розмір 28G (1FR), або еквівалент; Катетер для довготривалого венозного доступу поліуретановий, розмір 24G (2FR), або еквівалент ; Канюля ІзіГріп №10; Канюля ІзіГріп №12; Канюля ІзіГріп №4; Канюля ІзіГріп №5; Канюля ІзіГріп №6; Канюля ІзіГріп №7; Канюля ІзіГріп №8; Вушні вкладки до ручного акустичного зонду; Трубки для вкладки в акустичний зонд; Вакуумна система KIWI OmniCup</t>
  </si>
  <si>
    <t>Катетер типу « БАКРІ» для  тампонади матки; Медіпор + Пед   хірургічна пов'язка для закриття ран, 10см х 20см; Медіпор + Пед     хірургічна пов'язка для закриття ран, 6см х 10см; Затискач для пуповини "MEDICARE" стерильний одноразового використання; Канюля ІзіГріп №4; Канюля ІзіГріп №5; Канюля ІзіГріп №6; Канюля ІзіГріп №7; Канюля ІзіГріп №8; Кухоль Есмарха емальований С-7 1,5 літри; Стрічка для ЕКГ, діаграмний рулон 80мм*20м; Стрічка діаграмна 50*50(18) внутр, №10; Стрічка  діаграмна для КТГ, 112*100*150; Стрічка  діаграмна для КТГ, 152*90*160; Стрічка діаграмна 110*20 (16) внутр №10; Щіточка гінекологічна цервікальна "MEDICARE" стерильна одноразового використання, тип А; Вушні вкладки до ручного акустичного зонду; Трубки для вкладки в акустичний зонд; ПОДУШКА КИСНЕВА «МЕДИКА» Y003-42; Контейнер подвійний одноразового застосування для взяття 450 мл цільної крові, обладнаний пристроєм портом для використання вакуумних пробірок з преддонаційним контейнером; захистом уколу голкою (ЗУГ); розчином ЦФДА-1 в модифікації 450/450; Вакуумна система KIWI OmniCup; Катетер пупковий одноканальний рентгенконтрастний одноразовий стерильний Fr6; Судно підкладне з кришкою, нестерильне 2 л; Маска ларенгіальна  класична, Solus , розмір 3; Маска ларенгіальна  класична, Solus, розмір 4; Маска ларенгіальна  класична, Solus, розмір 5; Гнучкий кутовий з`єднувач (22F–22M/15F); Джгут кровоспинний турнікет Rtur Gen 7; Мішок дихальний типу АМБУ “MEDICARE” одноразового використання (для дітей); Термопапір для відео принтера 110мм*20мм. SONY TYPE-I(NORMAL) UPP-110S</t>
  </si>
  <si>
    <t>Катетери аспіраційні: Призначення: Катетери порожнинні, Стерильний, Одноразовий, Розмір, Fr: 6.00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Призначення: Катетери порожнинні, Стерильний, Одноразовий, Розмір, Fr: 8.00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порожнинні, з вакуум-контролем великим пальцем (перехідник з двома отворами, одне з яких має заглушку), стерильні, одноразові, розмір: 16 Fr, довжина: 450 мм; Катетери аспіраційні: Призначення: Катетери порожнинні, Стерильний, Одноразовий, Розмір, Fr: 12.00 Французька шкала, Довжина від : 450-500 міліметр, Тип: З вакуум-контролем великим пальцем (перехідник з двома отворами, одне з яких має заглушку); Катетери аспіраційні: порожнинні, з вакуум-контролем великим пальцем (перехідник з двома отворами, одне з яких має заглушку), стерильні, одноразові, розмір: 14 Fr, довжина: 450 мм</t>
  </si>
  <si>
    <t>Килимові покриття, килимки та килими</t>
  </si>
  <si>
    <t>Кириленко Дмитро Борисович</t>
  </si>
  <si>
    <t>Кисень медичний газоподібний (Oxygen, V03A N01), об'ємна частка кисню не менше 99.5%, ДСТУ ГОСТ 5583, балон - 10л., без обміну балону; Кисень медичний газоподібний (Oxygen, V03A N01), об'ємна частка кисню не менше 99.5%, ДСТУ ГОСТ 5583, балон 40л., з обміном балону; Медичний кисень рідкий, об'ємна частка кисню не менше 99.5%, ГОСТ 6331-78, налив</t>
  </si>
  <si>
    <t>Кисень медичний газоподібний (Oxygen, V03A N01); Кисень медичний рідкий (Oxygen, V03A N01)</t>
  </si>
  <si>
    <t>Кисень медичний рідкий (Oxygen, V03A N01), наливом; Кисень медичний газоподібний (Oxygen, V03A N01), об'ємна частка кисню не менше 99.5%, балон - 10л., без обміну балону; Кисень медичний газоподібний (Oxygen, V03A N01), об'ємна частка кисню не менше 99.5%, балон 40л., з обміном балону</t>
  </si>
  <si>
    <t>Киснеподавальні пристрої</t>
  </si>
  <si>
    <t>Класифікатор</t>
  </si>
  <si>
    <t>Клей для плитки</t>
  </si>
  <si>
    <t>Клейкі стрічки</t>
  </si>
  <si>
    <t>Клеї</t>
  </si>
  <si>
    <t>Комплекс робіт для подальшої акредитації лабораторії ЗАМОВНИКА згідно вимог стандарту ISO 15189:2022 в національному агентстві з акредитації України</t>
  </si>
  <si>
    <t>Комплексні інженерні послуги</t>
  </si>
  <si>
    <t>Комплект покриття операційного та комплекту одягу, Комплект для кесаревого розтину, кількість предметів в комплекті від  7, стерильний, з агдезивною полоскою; Покриття Для хірургічних операцій, одноразове, стерильне, матеріал виготовлення СМС, без адгезивного операційного поля (отвору), розмір 110-130х70-90 см, щільність матеріалу від 35 г/м²; Покриття Для хірургічних операцій, одноразове, стерильне, матеріал виготовлення СМС, без адгезивного операційного поля (отвору), розмір 250-270х150-170 см, щільність матеріалу від 35 г/м²; Чохол одноразовий, стерильний, довжина 140 - 160 см, ширина 80 - 90 см, спосіб фіксації завязки; Чохол одноразовий, стерильний, довжина 240 - 260 см, ширина 15 - 25 см, спосіб фіксації завязки; Респіратор одноразовий, протипиловий, FFP3, клапан видиху, без НЕРА фільтру; Чохол одноразовий, стерильний, довжина 90 - 110 см, ширина 35 - 45 см, спосіб фіксації завязки; Простирадла медичні одноразові: Нестерильне,в рулоні, Розмір: 0,8х100, Матеріал: Спанбонд, Щільність: 17, Перфорація; Покриття Для хірургічних операцій, одноразове, стерильне, матеріал виготовлення СМС+Спанбонд ламінований, без адгезивного операційного поля (отвору), розмір 170-190х150-170 см, щільність матеріалу від 45 г/м²</t>
  </si>
  <si>
    <t>Комплектуючі ПНЕВМОПАТРОН СХС 50*230 (клас 2)</t>
  </si>
  <si>
    <t>Комп’ютерне обладнання</t>
  </si>
  <si>
    <t>Комутатор мережевий; Кабель UTP</t>
  </si>
  <si>
    <t>Конверт</t>
  </si>
  <si>
    <t>Конструкційні матеріали</t>
  </si>
  <si>
    <t>Конструкційні матеріали різні</t>
  </si>
  <si>
    <t>Конструкції та їх частини</t>
  </si>
  <si>
    <t>Консультаційні послуги</t>
  </si>
  <si>
    <t>Консультаційні послуги у галузях інженерії та будівництва</t>
  </si>
  <si>
    <t>Контейнери для відходів</t>
  </si>
  <si>
    <t>Контейнери для зберігання</t>
  </si>
  <si>
    <t>Контейнери та урни для відходів і сміття</t>
  </si>
  <si>
    <t>Контур дихальний одноразового використання “MEDICARE” (з 1 вологозбірником, з камерою, з підігрівом лінії вдиху), для новонароджених; Фіброоптичний KL-Ларінгоскоп, рукоять мала; КL-Клинок Miller фіброоптичний, no. 00, 0, 1; Набір для невідкладної  конікотомії 120600-000020; A-6002-08LF Система дренажу грудної порожнини PLEUR-EVAC® для дорослих та дітей із подвійною камерою збору</t>
  </si>
  <si>
    <t>Коробка для стерилізації 290х160; Коробка для стерилізації 340х160; Мийка медична для підготовки інструментів до стерилізації</t>
  </si>
  <si>
    <t>Корпусні меблі</t>
  </si>
  <si>
    <t>Крейдований папір і крафт-папір</t>
  </si>
  <si>
    <t>Кріпильні деталі</t>
  </si>
  <si>
    <t>Крісла</t>
  </si>
  <si>
    <t>Кур’єрські послуги</t>
  </si>
  <si>
    <t>Куточок з клік системою</t>
  </si>
  <si>
    <t>Кухонне приладдя, товари для дому та господарства і приладдя для закладів громадського харчування</t>
  </si>
  <si>
    <t>Кушетка медична оглядова</t>
  </si>
  <si>
    <t>Л-01</t>
  </si>
  <si>
    <t>Л-22</t>
  </si>
  <si>
    <t>Л-30</t>
  </si>
  <si>
    <t>Л-54</t>
  </si>
  <si>
    <t>Л-55</t>
  </si>
  <si>
    <t>Л-56</t>
  </si>
  <si>
    <t>ЛАРІН СЕРГІЙ ВАЛЕРІЙОВИЧ</t>
  </si>
  <si>
    <t>ЛЕЩУК НАТАЛІЯ МИХАЙЛІВНА</t>
  </si>
  <si>
    <t>ЛИТВИН ТЕТЯНА ОЛЕКСІЇВНА</t>
  </si>
  <si>
    <t>ЛОЗОВСЬКА ЯНА ГЕННАДІЇВНА</t>
  </si>
  <si>
    <t xml:space="preserve">Лабораторна холодильна камера вертикальна для карантину зразків в комплекті; Лабораторна холодильна камера вертикальна в комплекті; Лабораторна морозильна камера вертикальна в комплекті; Інкубатор з охолодженням в комплекті ; Водяна баня в комплекті </t>
  </si>
  <si>
    <t>Лабораторно-діагностичні обстеження</t>
  </si>
  <si>
    <t>Лабораторні меблі</t>
  </si>
  <si>
    <t>Лампа бактерицидна</t>
  </si>
  <si>
    <t>Лампи розжарення</t>
  </si>
  <si>
    <t>Ламінарний бокс в комплекті ; Інкубатор з охолодженням в комплекті ; Мікробіологічний інкубатор в комплекті ; Сухожарова шафа в комплекті ; Ультранизькотемпературна морозильна камера вертикальна в комплекті ; Лабораторна морозильна камера вертикальна в комплекті</t>
  </si>
  <si>
    <t>Левоноргестрел, внутрішньоматкова система, по 52 мг</t>
  </si>
  <si>
    <t>Лезо для скальпеля, стерильне, розмір №10; Лезо для скальпеля, стерильне, розмір №11; Лезо для скальпеля, стерильне, розмір №15; Лезо для скальпеля, стерильне, розмір №23; Лезо для скальпеля, стерильне, розмір №24; Голкотримач хірургічний; Скальпель хірургічний, одноразовий, стерильний р.23</t>
  </si>
  <si>
    <t>Лозовська Яна Геннадіївна</t>
  </si>
  <si>
    <t>Лоток секційний</t>
  </si>
  <si>
    <t>Ляшко Роман Іванович</t>
  </si>
  <si>
    <t>Ліжко функціональне ЛФ-3; Матрац для ліжка функціонального  МС. ЛФ. 03; Бокова відкидна огорожа (комплект 2 шт) КФ.08.00</t>
  </si>
  <si>
    <t>Лікарська практика та супутні послуги</t>
  </si>
  <si>
    <t>Лікарські засоби різні</t>
  </si>
  <si>
    <t>Лічильники</t>
  </si>
  <si>
    <t>Лічильні прилади</t>
  </si>
  <si>
    <t>М-1242</t>
  </si>
  <si>
    <t>М-42</t>
  </si>
  <si>
    <t>МАКУХА АЛІНА ОЛЕКСІЇВНА</t>
  </si>
  <si>
    <t>МАРМАЧ ЮРІЙ ОЛЕКСІЙОВИЧ</t>
  </si>
  <si>
    <t>МАЦА ІЛЛЯ ПАВЛОВИЧ</t>
  </si>
  <si>
    <t>МЕТРОНІДАЗОЛ супозиторії вагінальні 0,1 г стрип №10; НІСТАТИН-ЗДОРОВ'Я суспензія оральна, 100000 МО/мл, по 50 мл у флаконі, закупореному кришкою, по 1 флакону зі шприц-дозатором складеним у коробці з картону; ГАНЦИКЛОВІР-ФАРМЕКС ліофілізат для розчину для інфузій по 500мг; 1 флакон з ліофілізатом у контурній чарунковій упаковці в пачці з картону; ГЕМОФЕРОН розчин оральний  200 мл  флакон №1; ГЕПАМЕТІОН® ліофілізат для розчину для ін'єкцій по 500 мг, по 5 флаконів з ліофіл. у комплекті з 5 ампулами розчинника по 5 мл в контурній чарунковій упаковці; по 1 конт.чарунк. уп. в пачці; ОСПАМОКС пор. д/п сусп. д/перор. заст. 125 мг/5 мл фл. 5,1 г, д/п 60 мл сусп.; ІНГАЛІПТ-Н спрей для ротової порожнини, по 30 г у балоні; по 1 балону з розпилювачем та захисним ковпачком у пачці з картону; ОЗАЛЕКС® таблетки, вкриті плівковою оболонкою, по 10 мг № 28 (14х2); СИНДРЕКС® концентрат для розчину для інфузій по 5 мл в ампулі, амп.№1+амп.№2 №6; ТАКЛОР таблетки, по 25 мг по 10 таблеток у блістері; по 3 блістери у пачці</t>
  </si>
  <si>
    <t xml:space="preserve">МРТ головного мозку, МРТ одного відділу хребта ; МРТ одного з суглобів ; МРТ малого тазу ; МРТ органів черевної порожнини </t>
  </si>
  <si>
    <t>МРТ головного мозку, МРТ одного відділу хребта; МРТ органів малого тазу; МРТ органів черевної порожнини, МРТ одного з суглобів</t>
  </si>
  <si>
    <t>МТ- 733684</t>
  </si>
  <si>
    <t>Магістралі, трубопроводи, труби, обсадні труби, тюбінги та супутні вироби</t>
  </si>
  <si>
    <t xml:space="preserve">Мала настільна центрифуга в комплекті ; Дозатор одноканальний 100-1000 мкл комплекті ; Дозатор одноканальний 1-10 мл комплекті ; Компактний блочний нагрівач в комплекті </t>
  </si>
  <si>
    <t>Манометри</t>
  </si>
  <si>
    <t>Мастики, шпаклівки, замазки та розчинники</t>
  </si>
  <si>
    <t>Мастила</t>
  </si>
  <si>
    <t>Машини для виробництва текстильних виробів</t>
  </si>
  <si>
    <t>Машини для обробки даних (апаратна частина)</t>
  </si>
  <si>
    <t>Меблева фурнітура</t>
  </si>
  <si>
    <t>Меблі для дому</t>
  </si>
  <si>
    <t>Меблі різні</t>
  </si>
  <si>
    <t>Меблі та приспособи різні</t>
  </si>
  <si>
    <t>Медичне обладнання та вироби медичного призначення</t>
  </si>
  <si>
    <t>Медичне обладнання та вироби медичного призначення різні</t>
  </si>
  <si>
    <t>Медичний кисень рідкий, об'ємна частка кисню не менше 99.5%, ГОСТ 6331-78, налив</t>
  </si>
  <si>
    <t>Медичні матеріали</t>
  </si>
  <si>
    <t>Медичні послуги</t>
  </si>
  <si>
    <t xml:space="preserve">Медичні послуги </t>
  </si>
  <si>
    <t>Менадіон; Фітоменадіон</t>
  </si>
  <si>
    <t>Мережа Ethernet</t>
  </si>
  <si>
    <t>Мережеве обладнання</t>
  </si>
  <si>
    <t>Меропенем, порошок для ін'єкцій/інфузій, по 1 г; Іміпенем /Целастатин 500мг/500мг  порошок для розчину для інфузій; Ізосол розин для інфузій 200 мл</t>
  </si>
  <si>
    <t>Механо-монтажні роботи</t>
  </si>
  <si>
    <t>Механічні запасні частини</t>
  </si>
  <si>
    <t>Механічні запасні частини, крім двигунів і частин двигунів</t>
  </si>
  <si>
    <t>Модуль під'єднання панелі оператора до контролера</t>
  </si>
  <si>
    <t>Монтаж гіпсокартонних конструкцій</t>
  </si>
  <si>
    <t>Монтаж підвісних стель</t>
  </si>
  <si>
    <t>Монтаж системи контролю</t>
  </si>
  <si>
    <t>Монтаж фурнітури</t>
  </si>
  <si>
    <t>Монітор пацієнта; Ручний зовнішній дефібрилятор; Пульсоксиметр; Шприцевий інфузійний насос на 1 шприц</t>
  </si>
  <si>
    <t>Монітори пацієнта</t>
  </si>
  <si>
    <t>Морфін, розчин для ін`єкцій, 10 мг/мл по 1 мл; Діазепам, розчин для ін`єкцій, 5 мг/мл по 2 мл в ампулі, №10</t>
  </si>
  <si>
    <t>Москітні сітки</t>
  </si>
  <si>
    <t>Мідазолам розчин для ін'єкцій, 5 мг/мл по 3 мл</t>
  </si>
  <si>
    <t>Міжкімнатні двері № 1; Міжкімнатні двері № 2; Вікно №1; Вхідні двері; Міжкімнатні двері № 3</t>
  </si>
  <si>
    <t>Мікрокатетер гідрофільний; Провідник церебральний; Пристрій для профілактики емболії; У-конектор; Пристрій для закриття місця пункції судин; Пристрій для створення гемостазу; Стент каротидний з закритою коміркою; Стент-система каротидна з подвійним плетінням; Пристрій для екстракції тромбів ; Пристрій для реваскуляризації</t>
  </si>
  <si>
    <t xml:space="preserve">Мікроскоп бінокулярний у комплекті </t>
  </si>
  <si>
    <t>НАВЧАЛЬНО-МЕТОДИЧНИЙ ЦЕНТР ЦИВІЛЬНОГО ЗАХИСТУ ТА БЕЗПЕКИ ЖИТТЄДІЯЛЬНОСТІ ПОЛТАВСЬКОЇ ОБЛАСТІ</t>
  </si>
  <si>
    <t>НАУКОВО-ВИРОБНИЧЕ ПРИВАТНЕ ПІДПРИЄМСТВО"МЕДПРОМСЕРВІС"</t>
  </si>
  <si>
    <t>НАУКОВО-ВИРОБНИЧЕ ТОВАРИСТВО З ОБМЕЖЕНОЮ ВІДПОВІДАЛЬНІСТЮ"СОЛВЕР"</t>
  </si>
  <si>
    <t>НАЦІОНАЛЬНИЙ НАУКОВИЙ ЦЕНТР "ІНСТИТУТ СУДОВИХ ЕКСПЕРТИЗ ІМ. ЗАСЛ. ПРОФ. М.С. БОКАРІУСА" МІНІСТЕРСТВА ЮСТИЦІЇ УКРАЇНИ</t>
  </si>
  <si>
    <t>НК 024:2023 – 33181 Ендопротез кульшового суглоба цілий з парою тертя метал-поліетилен (безцементного типу фіксації)   НК 031:2024 – Р0908 Протези кульшового суглоба; НК 024:2023 – 33181 Ендопротез кульшового суглоба цілий з парою тертя метал-поліетилен (безцементного типу фіксації з подвійною мобільністю)  НК 031:2024 – Р0908 Протези кульшового суглоба; НК 024:2023 – 33715 Ендопротез кульшового суглоба повний з парою тертя кераміка-поліетилен (безцементного типу фіксації)    НК 031:2024 – Р0908 Протези кульшового суглоба; НК 024:2023 – 33181 Ендопротез кульшового суглоба цілий з парою тертя метал-поліетилен (цементного типу фіксації)  НК 031:2024 – Р0908 Протези кульшового суглоба; НК 024:2023 – 33181  Ендопротез кульшового суглоба цілий з парою тертя кераміка-поліетилен (цементного типу фіксації)  НК 031:2024 – Р0908 Протези кульшового суглоба; НК 024:2023 – 34204 Ендопротез кульшового суглоба повний з парою тертя кераміка-кераміка (безцементного типу фіксації)  НК 031:2024 – Р0908 Протези кульшового суглоба; НК 024:2023 – 60516 Компонент ендопротеза кульшового суглоба ацетабулярного металевий (Ацетабулярна чашка з титанового сплаву)   НК 031:2024 – P090803 Ацетабулярні компоненти протезів кульшового суглоба</t>
  </si>
  <si>
    <t>НОСЕНКО ІВАН ВАЛЕРІЙОВИЧ</t>
  </si>
  <si>
    <t xml:space="preserve">Набір RPR-carbon-тест 500виз.;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Азур-еозин Романовського; Еозин метиленовий синій Май Грюнвільда; Набір АЧТЧ 5х5 мл (500 тестів); Набір Протромбіновий час 10х5мл (500 тестів); Набір Фібріноген 5х5мл (500 тестів); Контрольна плазма Норма NCP 10 х1 мл; Кульки до коагулометра SC40 Steellex 300шт\фл; Кювети для коагуглометрів SC20 SC4D "Stellex"; Концентрат системного реагенту для аналізатора глюкози АГКМ-01; Очисний розчин для аналізатора глюкози АГКМ- 01; Діагностичні тест смужки для аналізу сечі Combur10 TestM (100 смужок);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</t>
  </si>
  <si>
    <t>Набір TDR ONE-96 для ідент. та визн. антибіотикочутливості бактерій роду Enterobacteriaceae (10 шт); Набір TDR NF-96 для ідент. та визнан. атибіотикочутливості неферментуючих бактерій (10 шт/уп); Набір TDR STAPH-96 для ідентифікації та визначення антибіотикочутливості стафілококів (10 шт/уп); Набір TDR STR-96  для ідент. та визн. антибіотикочутливості бактерій стрептококів (10 шт/уп); Набір TDR YEAST-96  для ідент. та визн. антибіотикочутливості грибів та дріжджів (10 шт/уп); 115-049836-00 Стерильні наконечники  уп 100 шт; 105-053878-00 Аеробний флакон для гемокультур 25 фл/уп; 105-053879-00 Анаеробний флакон для  гемокультур 25 фл/уп; 105-053880-00 Аеробний флакон для  гемокультур (педіатричний) 25 фл/уп</t>
  </si>
  <si>
    <t>Набір для визначення глюкози МОНО-400мл; Набір для визначення СРБ латекс-тест; Набір для визначення РФМК (флаконний); VDRL - кардіоліпіновий тест; Азур – еозин по – Романовскому; Еозин метиленовий синій по Май- Грюнвальду; Калібруючий розчин СР50 (50 тестів/упаковка); Тест картридж BG10 (25 картриджів/упаковка) (4 упаковки/набір); Реактив для забарвлення ретикулоцитів; Прокальцитонін РСТ, для визначення (25 тестів/набір)</t>
  </si>
  <si>
    <t>Набір офтальмологічних пробних окулярних лінз</t>
  </si>
  <si>
    <t xml:space="preserve">Набір трубок для іригації, багаторазові, 20 використань </t>
  </si>
  <si>
    <t>Навчальні засоби</t>
  </si>
  <si>
    <t>Навчання на програмі підвищення кваліфікації</t>
  </si>
  <si>
    <t>Навчання по програмі  підвищення кваліфікації</t>
  </si>
  <si>
    <t>Навчання по програмі підвищення кваліфікації</t>
  </si>
  <si>
    <t>Навчання по програмі підвищення кваліфікації за профілем "Спеціаліст-метролог"</t>
  </si>
  <si>
    <t>Навчання працівників</t>
  </si>
  <si>
    <t>Надання доступу в режимі онлайн до електронних баз</t>
  </si>
  <si>
    <t>Надання послуг з адвокатської діяльності та правничої допомоги</t>
  </si>
  <si>
    <t>Накладна (вимога); Скринінгова анкета для дорослоі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здоров”я паціснта,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№210/o; А-6; Клінічний аналіз крові;форма №224/o; А-6; Серологічне дослідження крові на сифіліс;форма №210/o; А-6; Аналіз виділень із сечостатевих органів;форма №218/o;A 6; Дослідження крові на гpyпy та резус-приналежність; Біохімічний аналіз крові; форма №228/o; А-6; Аналіз крові показники система згортання; форма 237/o; Листок обліку pyxy хворих ї ліжкового фонду стаціонару; формаN9007/о; Листок реєстрації переливання трансфузійних рідин;форма № 005/o; Направлення на патологогістологічне дослідження; форма №014/o;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№232/o; А-6; Медична карта амбулаторного хворого; форма №025/o; А-5; План ведення вагітності; Первинний огляд; Единбурзька шкала післяпологової депресії; Iндивідуальна карта вагітної та породіллі; Щоденник огляду вагітноЇ; Консультація психолога; Аналіз крові на HBsAg;фopмa №241; Направлення на аналіз; форма №200/о; Протокол ультразвукового обстеження вагітних; Протокол ультразвукового обстеження вагітних; Протокол ультразвукової мамографії; протокол ультразвукового дослідження органів малого тазу; Консультативний висновок спеціаліста фр.№028/о; УЗД скринінг; Інформована згода та оцінка стану здорової особи або дитини одного з батьків на проведення щеплення або туберкуліодіагностики; форма №063-2/о; Номограма:ведення жовтяниці у дітей, народжених в терміні з 35+0 до 37+6 тижн.гест;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№204/o; Звіт до  бухгалтері про надходження i відпуск лікарських засобів та медичних виробів; Листок призначень препаратів наркотичних засобів, психотропних речовин; форма №129—11/o; А-5; Акт про знищення (видалення) рослин, включених до списку N 4 таблиці I; Направлення на мікробіологічне дослідження; форма №204/o (кров); Форма збору щодо катетер-асоційованих інфекцій кровотоку (катетеризація центральної судини); Результат аналізу; форма №209/o; Форма збору даних щодо інфекцій області хірургічного втручання в післяопераційний період (Додаток 6); Протокол переливання крові та їï компонентів; форма N•003-5/o; Листок основних показників стану хворого; форма №011/o; Передопераційний огляд анестезиста та протокол загального знеболення; форма №003-З/о; Звіт постів (маніпуляційних кімнат)про фактичне використання лікарських засобів; Розклад на операцію; Щоденник огляду лікаря;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медичнoї допомоги при оголошенні повітряної тривоги; lсторія вагітності та пологів; форма №096/o; Форма збору даних щодо інфекцій області хірургічного втручання (Додаток 5); Інформована добровільна згода пацієнта на проведення діагностики лікування i на проведення операції та знеболення; форма №003-6/о;А—4; Вагінальні пологи; Резюме пологів; Форма збору щодо катетер-асоційованих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№097/o; Первинна оцінка стану новонародженого; Аналіз крові на ВІЛ; форма №241/o; Інформована згода на комплекс медичних втручань;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РІРР; Згода на обробку персональних даних та користування Helsi мати, батько, опікун: А-4; Форма спостереження матері за дитиною; Інформована згода та оцінка стану здоров’я особи або дитини  на проведення щеплення або туберкуліо діагностики форма №063-2/о; Післяпологовий медичний огляд; Ехокардіоскопія(2); Номограма ведення жовтяниці у дітей, народжених в терміні більше 38 тижнів гестації; Повідомлення про дитину з вродженими вадами розвитку; форма №149-1/o; Журнал обліку профілактичних щеплень; форма №064/o; Журнал обліку прийому хворих у стаціонар та відмов у госпіталізації форма №001/o; Журнал генеральних прибирань; Журнал обліку  якості передстерилізаційної обробки виробів медичного призначення; форма №366/o; журнал обліку фактично отриманих i використаних лікарських засобів та медичних виробів постами(маніпуляційними кабінетами) наказ МОЗ №635 від 09.09.2014; Журнал обліку відділеннями отриманих i використаних лікарських засобів та медичних виробів наказ МОЗ № 635 від 09.09.2014; Журнал запису оперативних втручань у стаціонарі; форма N°008/o 50 аркушів; Журнал запису оперативних втручань у стаціонарі; форма N•008/o 100 аркушів; Журнал ресстрації переливання трансфузійних рідин; форма N• 009/o; Журнал ресстрації амбулаторних хворих; форма №074/o ; Журнал реєстрації післятестового консультування у зв’язку з тестуванням на ВІЛ-інфекцію форма №503/о; Журнал обліку інфекційних захворювань; форма №060/o; Журнал обліку новонароджених у відділенні (палаті); форма N 102/o; Журнал ресстрації аналізів i ïx результатів; форма №250/o (загальні аналізи крові); Журнал ресстрації аналізів i ïx результатів;форма №250/o (крові на сифіліс); Робочий журнал мікробіологічних досліджень; форма №253/0; Журнал ресстрації досліджень i результатів визначення чутливості мікроорганізмів до хіміотерапевтичних препаратів;форма №254/o; Журнал обліку виділених культур та їх знищення; форма №280/o; Журнал ресстрації аналізів та ïx результатів;форма №250/o; Робочий журнал мікробіологічних досліджень кишкової групи; форма №253/o; Журнал ресстрації мікробіологічних та паразитологічних досліджень; форма №252/o; Журнал обліку приймання вагітних, роділь та породіль; форма №О02/о; Журнал запису пологів у стаціонарі; форма №010/o; Протокол епідуральних аналгезій; Робочий журнал мікробіологічних досліджень на стафілокок форма 253/o; Результат мікробіологічного дослідження та визначення чутливості виділених культур до хіміотерапевтичних препаратів форма №240/o; робочий журнал мікробіологічних досліджень спинномозкової рідини форма 250/o; Робочий журнал мікробіологічних досліджень крові форма 253/o; Журнал кварцювання приміщень лабораторії; Журнал обліку відпрацьованого часу засобів вимірювальної техніки; Журнал технічного обслуговування мікроскопа; Журнал реєстрації утилізації відходів у бактеріологічному відділі  лабораторного відділення; Правила відвідування пацієнтів ,які перебувають у відділенні інтенсивної терапії (відповідно наказу МОЗ Ураїни від 15.06.2016 №592 2Прсзатвердження порядку допуску відвідувачів до пацієнтів, які перебувають на стаціонарному лікуванні i відділенні інтенсивної терапії); Інформована добровільна згода пацієнта на проведення діагностики, лікування i на проведення операції форма №003-6/о двухстороння; Карта первинноі реанімаціі новонародженого наказ МОЗ №536 в/д 26.03.2025; Контрольний лист перевірки готовності до реанімації наказ 536 від 06.03.2025; Оцінювання важкості дихальних розладів новонародженого. Наказ МОЗ №873 від 05.05.2021; Форма збору даних щодо вентилятор-асоційованих пневмоній; Інформована згода батьків щодо проведення дитині скринінгу слуху; Номограма ведення жовтяниці у дітей народжених в терміні більше 38 тижні8 гестації; Номограма ведення жовтяниці у дітей народжених в терміні менше 35 тижнів гестації з вагою більше 1999 г.; Номограма введення жовтяниці у дітей, народжених у терміні менше 35 тижнів гестації 1000-1499 г; номограма введення жовтяниці у дітей, народжених у терміні менше 35 тижнів гестації з вагою більше 1500- 1999 г.; номограма введення жовтяниці у дітей, народжених в терміні менше 35 тижнів гестації з вагою менше 1000 г.; Протокол ехокардіологічного дослідження; Оцінка клінічних проявів неонатального абстинентного синдрому (додаток 22 до стандартів медичної допомоги "Профілактика передач i ВІЛ від матері до дитини"; Ультразвукове дослідження нирок та сечового міхура; Нейросонографія; інформація для  пацієнток та індивідуальний план спостереження (додаток 3 до Стандарту медичної допомоги "нудота i блювання під час вагітності. Надмірне блювання"); шкала індивідуальної кількісної оцінки ступеня тяжкості нудоти та блювання вагітних (додаток 3 до стандарту медичної допомоги "нудота i блювання під час вагітності. Надмірне блювання вагітних"; Заява про перенесення декретної відпустки; Список на пологи; Щоденник oгляду гінекологічного хворого; Направлення на дослідження (цитологія гінекологічна) форма №203/о/г; Направлення на дослідження (цитологія негінекологічна) форма № 203/о/н; аналіз дослідження крові на резус-антитіла (форма 241); Журнал реєстрації взяття крові та результатів досліджень з виявлення серологічних маркерів ВІЛ з використанням швидких тестів форма №•498-5/o; Добровільна усвідомлена відмова пацієнта від медичного втручання; Акт підтвердження відмови пацієнта від медичного втручання; Аналіз сечi за Нечипоренко форма 212/o; інформована згода (додаток 4 до порядку проведення та документування результатів медичного обстеження постраждалих осіб від домашнього насильства); Медична довlдка (додаток 3 до порядку проведення та документування результатів медичного обстеження осіб від домашнього насильства ); повідомлення про дитину , яка постраждала від жорстокого поводження або стосовно якої існує загроза його вчинення (додаток 2 до порядку проведення та документування результатів медичного обстеження постраждалих осіб від домашнього насильства); (звернення) про вчинення домашнього насильства та насильства за ознакою статті (затверджено постановою KMY від 22.08.2018 р. № 658.; Журнал ооліку фактів звернення i а доставлення до Комунального підприємства "1-А МКЛ ПMP" осіб у звя'зку із заподіянням їм тілесних ушкоджень кримінального характеру та інформування про такі випадки органів та підрозділів поліції; Карта пацієнта що вибув із стаціонару фopмa	№ 066/o; Епікриз після операції кесаревого розтину додаток 6; Операціі вакуум-екстракції (акушерські щипці) вкладиш №6 до форми №96/o; Результат імунохроматографічного дослідження(СlТО TESТ); форма №498-2/o; Направлення на патогістологічне дослідження форма №004\o; Медичне свідоцтво про народження форма №103/o; Температурний листок форма 004; журнал ооліку препаратів нapкoтнчних засобів, психотропних речовин i прекурсорів на постах відділень лікувально-профілактичних закладів охорони здоров'я форма №129-7/o; направлення на мікробіологічне (бактеріологічне, вірусологічне, паразитологічне) дослідження форма 204/o; Направлення на мікробіологічне (бактеріологічне, вірусологічне, паразитологічне)  дослідження (кров на стерильність) форма 204/o; Виписний епікриз з відділення патології вагітності та екстрагенітальної патології з ліжками для невиношування; Ордер про потребу донорської крові та /або компонентів крові (наказ СДУ "УЦТК" 26.05.2025 №28/ОД); Вибудковии ордер для донорськоі крові та /aбo компонентів крові (наказ СДУ "УЦТК" 26.05.2025 №28ОД); Вимога до KП "Полтавська OCПK" ПОР (наказ ДОЗ від 07.03.2023 №53); Оцінка ризику венозних тромбоемболічних ускладнень у хірургічного паціснта :Шкала Capгini; Передопераційний епікриз; Шкала індивідуальної кількісної оцінки блювання та нудоти вагітних (PUQE); Шкала прогнозування рівня надмірного блювання вагітних; Операція: Вишкрібання стінок цервікального каналу та стінок порожнини матки; Протокол лапароскопії; протокол гістерорезектоскопії; Модифікована шкала Фіннеган для оцінки неонатального абстинентного синдрому; Операція. Пункція черевної порожнини через заднє склепіння піхви; Операція: MBA; Вакцинація для профілактики туберкульозу-БЦЖ; Відмова від щеплення; Відмова від щеплення з комісією; Відмова від грудного вигодовування; Письмова згода батьків(опікунів) ВІЛ- експонованої дитини на проведення заходів профілактики передачі ВІЛ від матері до дитини (додаток 17 до стандартів медичної допомоги (профілактика передачі ВІЛ від матері до дитини); I lам’ятка щодо догляду за новонародженим ВІЛ- позитивною мамою (додаток 8 "Про порядок профілактики передачі ВІЛ від матері до дитини"); Листок призначень антиретровірусної терапії (Наказ головного лікаря KП "ПЦ II рівня ПMP"); Інформована згода пацієнта на передачу відомостей на обробку персональних даних 9 додаток; Журнал обліку медичних імунобіологічних препаратів (додаток 3 до Порядку забезпечення належних умов зберігання,транспортування,приймання та обліку вакцин, анатоксинів та алергену туберкульозного в Україні); Звіт про надходження та використання лікарських засобів та медич них виробів постами(маніпуляційними кабінетами); Медична карта стаціонарного хворого форма 003/о; Діаграма нормативно фізичного розвитку недоношених немовлят (додаток 6 до уніфікованого клінічного протоколу  вторинної(спеціалізованої) та третинної(високоспеціалізованої) медичної допомоги) «ентеральне харчування недоношених немовлят») на двох аркушах; Оцінка гестаційного віку дитини за новою шкалою Баллард та фізичного розвитку дитини відповідно до терміну гестації ( додаток до протоколу догляду за новонародженою дитиною з малою масою тіла при народженні; Відмова законного представника дитини від медичного втручання; Неонатальний скринінг новонародженого; Навіщо Вашій дитині, яка щойно народиласъ пропонують ввести вітамін K1?; Інформована добровільна згода вагітної жінки на проведення операції (процедури) штучного переривання не бажаної вагітності.; Номограма введення жовтяниці у дітей народжених в термін з 35+0 до 37+6 тижнів гестації; Основний діагноз код за МКХ—10—АМ; Листок лікарських призначень форма №003-4/о; журнал pyxy заразного матеріалу (мікроорганізмів, токсинів, отрут, взірів з підозрою на зараження) форма №270\o; Журнал реєстрації температури та відносної вологості у приміщенні: форма № 510-5/о 50  аркушів; Журнал реєстрації температурного режиму в холодильнику Ф 498-10/о 50 аркушів; Особиста медична книжка Ф №1 -ОМК(картон); Медична карта огляду осіб для визначення спроможності займатися відповідним видом діяльності за станом здоров’я; Огляд невролога; Журнал реєстрації температурного режиму в холодильнику (морозильній камері); Журнал реєстрації температури та відносної вологості у приміщенні ; Журнал обліку якості передстерелізаційної обробки виробів медичного призначення; Журнал запису оперативних втручань у стаціонарі; Журнал обліку роботи бактерицидного випромінювання ; Чек-лист підготовки операційної бригади (планова операція); Направлення на мікробіологічне(бактеріологічне, вірусологічне, паразотологічне) дослідження; Направлення на мікробіологічне(бактеріологічне, вірусологічне, паразотологічне) дослідження; Карта хворого, який лікується в фізіотерапевтичному відділенні (кабінеті); Додаток 4 до Методичних рекомендацій; Додаток 5 ( Форма збору даних щодо інфекцій області хірургічного втручання); Додаток 6 ( Форма збору даних щодо інфекцій області хірургічного втручання в післяопераційний період)</t>
  </si>
  <si>
    <t>Накладна (вимога); Скринінгова анкета для дорослої особи стосовно чинників ризику та симптомів, що можуть свідчить про ТБ; Згода на обробку персональних даних та користування Helsi; А-4; Анкета для визначення стану здоров`я пацієнта, наявності медикаментозної алергії та моніторингу прийому лікарських засобів (Додаток 3); Правила внутрішнього розпорядку; Аналіз сечі загальний; форма №210/о; А-6; Клінічний аналіз крові;форма №224/о; А-6; Серологічне дослідження крові на сифіліс;форма №241-2/о; А-6; Аналіз виділень із сечостатевих органів;форма №218/о;А-6; Дослідження крові на групу та резус-приналежність; Цитоморфологічне дослідження ;форма №215/о;А-5; Медичні інтервенції; Біохімічний аналіз крові; форма №228/о; А-6; Аналіз крові показники системи згортання; форма 237/о; Листок обліку руху хворих і ліжкового фонду стаціонару; форма№007/о; Листок реєстрації переливання трансфузійних рідин;форма № 005/о; Направлення на патологогістологічне дослідження; форма №014/о; Направлення на проведення обстеження з виявлення серологічних маркерів;форма №249-7/о; Табель обліку використання робочого часу; Інформована згода на проходження тесту на ВІЛ; Кабінет функціональної діагностики; Аналіз крові глікемічна крива після навантаження глюкозою; форма №232/о; А-6; Медична карта амбулаторного хворого; форма №025/о; А-5; Гравідограма; План ведення вагітності; Первинний огляд; Единбурзька шкала післяпологової депресії; Індивідуальна карта вагітної та породіллі; Щоденник огляду вагітної; Консультація психолога; Аналіз крові на HBsAg;форма №241; Направлення на аналіз; форма №200/о; Протокол  ультразвукового обстеження вагітних; Протокол ультразвукової мамографії; Протокол ультразвукового дослідження органів малого тазу; Протокол ультразвукового дослідження органів малого тазу (трансабдомінально); Консультативний висновок спеціаліста; форма №028/о; Ехокардіоскопія(1); УЗД скринінг; Інформована згода та оцінка стану здорової особи або дитини одного з батьків на проведення щеплення або туберкулдіагностики; форма №063-2/о; Номограма:ведення жовтяниці у дітей, народжених в терміні з 35+0 до 37+6 тижн.гест.; Шкала оцінки болю у доношених новонароджених дітей NIPS; Діаграма фізичного розвитку для недоношених немовлят-дівчатка; Діаграма фізичного розвитку для недоношених немовлят-хлопчики; Контрольний лист перевірки готовності до реанімації; Направлення на мікробіологічне дослідження; форма №204/о; Звіт до бухгалтерії про надходження і відпуск лікарських засобів та медичних виробів; Листок призначень препаратів наркотичних засобів, психотропних речовин; форма №129-11/о; А-5; Акт про знищення (видалення) рослин ,включених до списку N 4 таблиці I; Направлення на мікробіологічне дослідження; форма №204/о (кров); Форма збору щодо катететер-асоційованих інфекцій кровотоку (катетеризація центральної судини); Результат мікробіологічного дослідження та визначення чутливості виділених культур до хіміотерапевтичних препаратів; форма №240/о; Результат аналізу; форма №209/о; Форма збору даних щодо інфекцій області хірургічного втручання в післяопераційний період (Додаток 6); Протокол переливання крові та її компонентів; форма №003-5/о; Листок основних показників стану хворого;форма №011/о; Передопераційний огляд анестезиста та протокол загального знеболення; форма №003-3/о; Реєстр виданих накладних (вимог); Реєстр отриманих прибуткових накладних (додаток 3); Звіт постів про фактичне використання лікарських засобів; Розклад на операцію; Щоденник огляду лікаря; Чек-лист етапи миття рук з милом і водою; Консиліум; Дані про вагітність; Лист спостереження; Щоденник медичного спостереження за вагітною; Розташування передлеглої частини; Етапний епікриз; Інформована добровільна згода на надання медичної доппмоги при оголошенні повітряної тривоги; Історія вагітності та пологів; форма №096/о; Форма збору даних щодо інфекцій області хірургічного втручання (Додаток 5); Інформована добровільна згода пацієнта на проведення діагностики,лікування і на проведення операції та знеболення; форма №003-6/о;А-4; Вагінальні пологи; Резюме пологів; Форма збору щодо катететер-асоційованих інфекцій кровотоку (катетеризація периферичної вени); Форма збору даних щодо катетер-асоційованих інфекцій сечовивідних шляхів; Стан при госпіталізації; Інформована згода на кесарів розтин; Протокол кесаревого розтину; Медична карта новонародженого; форма №097/о; Первинна оцінка стану новонародженого; Результат імунохроматографічного дослідження(CITO TEST); форма №129-11/о; Аналіз крові на ВІЛ; форма №241; Інформована згода на комплекс медичних втручань; Довідка про результати досліджень з виявлення серологічних маркерів ВІЛ; форма №503-10/о; Оцінка стану повного медичного огляду після народження; Лікування новонародженого; Вигодовування новонародженого; Щоденник спостереження; Шкала оцінки болю у передчасно народжених дітей PIPP; Згода на обробку персональних даних та користування Helsi мати,батько,опікун; А-4; Форма спостереження матері за дитиною; Інформована згода батьків щодо проведення дитині скринінгу слуху; Інформована згода та оцінка стану здорової особи або дитини одного з батьків на проведення щеплення або туберкулдіагностики; форма №063-2/о; Післяпологовий медичний огляд; Ехокардіоскопія(2); Номограма:ведення жовтяниці у дітей, народжених в терміні більше 38 тижнів гестації ; Повідомлення про дитину з вродженими вадами розвитку; форма №149-1/о; Журнал обліку отриманих та виданих вакцин; Журнал обліку фактично отриманих та використаних вакцин на постах; Журнал реєстрації функціональних досліджень; форма №047/о; Журнал обліку профілактичних щеплень; форма №064/о; Книга складського обліку лікарських засобів та медичних виробів ; Журнал обліку прийому хворих у стаціонар та відмов у госпіталізації;форма № 001/о; Журнал генеральних прибирань; Журнал обліку якості передстерилізаційної обробки виробів медичного призначення; форма №366/о; Журнал обліку фактично отриманих і використаних лікарських засобів та медичних виробів постами(маніпуляційними кабінетами); Журнал обліку відділеннями отриманих і використаних лікарських засобів та медичних виробів; Журнал запису оперативних втручань у стаціонарі; форма №008/о; Журнал реєстрації переливання трансфузійних рідин; форма № 009/о; Журнал реєстрації температури та відносної вологості у приміщенні; форма №510-5/о; Журнал реєстрації амбулаторних хворих;  форма №074/о; Журнал реєстрєстрації добровільного перед- та післятестового консультування у зв`язку з тестуванням на ВІЛ-інфекцію; форма №503/о; Журнал запису амбулаторних операцій;форма №069/о; Журнал реєстрації аварій при наданні медичної допомоги ВІЛ -інфікованим особам та роботі з ВІЛ -інфікованим матеріалом; форма № 108-о; Журнал обліку інфекційних захворювань; форма №060/о; Журнал обліку новонароджених у відділенні (палаті); форма №102/о; Журнал реєстрації аналізів і їх результатів; форма №250/о (гази крові); Журнал реєстрації аналізів і їх результатів; форма №250/о (біохімічні дослідження); Журнал реєстрації аналізів і їх результатів; форма №250/о (загальні аналізи сечі); Журнал реєстрації аналізів і їх результатів; форма №250/о (загальні аналізи крові); Журнал реєстрації аналізів і їх результатів; форма №250/о (група крові); Журнал реєстрації аналізів і їх результатів; форма №250/о (показники системи згортання); Змінний журнал; Журнал щоденного огляду та перевірки дії панелі керування,блокування дверей,резервуару та збирального контейнера,запобіжного клапану,повітряного фільтру,термостату,автоматичного вимикача,заземлення; Робочий журнал мікробіологічних досліджень; форма №253/0; Журнал реєстрації досліджень і результатів визначення чутливості мікроорганізмів;форма №254/о; Робочий журнал мікробіологічних досліджень на стрептокок; форма №253/о; Журнал обліку виділених культур та їх знищення; форма №280/о; Журнал реєстрації аналізів та їх результатів;форма №250/о; Робочий журнал мікробіологічних досліджень на стерильність; форма №258/о; Робочий журнал мікробіологічних досліджень кишкової групи; форма №253/о; Журнал реєстрації мікробіологічних та паразитологічних досліджень; форма №252/о; Журнал приготування та контролю поживних середовищ; форма №256/о; Робочий журнал мікробіологічних досліджень на гонокок; форма №253/0; Робочий журнал мікробіологічних досліджень на дріжджеподібні гриби; форма №253/0; Журнал обліку приймання вагітних,роділь та породіль; форма №002/о; Журнал зведень; Журнал чергової акушерки; Журнал реєстрації температурного режиму в холодильнику(морозильній камері); форма №498-10/о; Журнал запису пологів у стаціонарі; форма №010/о; Журнал обліку видачі одноразової натуральної допомоги "пакунок малюка" №1; Журнал обліку видачі одноразової натуральної допомоги "пакунок малюка" №2; Температурний журнал; Журнал обліку фактично отриманих і використаних лікарських засобів та медичних виробів постами (маніпуляційними кімнатами, кабінетами); Журнал обліку відділеннями отриманих і використаних лікарських засобів та медичних виробів; Книга складського обліку лікарських засобів та медичних виробів</t>
  </si>
  <si>
    <t>Наконечники; Наконечники</t>
  </si>
  <si>
    <t>Насоси та компресори</t>
  </si>
  <si>
    <t>Настінні годинники</t>
  </si>
  <si>
    <t>Натуральні тканини</t>
  </si>
  <si>
    <t>Науково-технічні послуги в галузі інженерії</t>
  </si>
  <si>
    <t>Неелектричні побутові прилади</t>
  </si>
  <si>
    <t>Низькотемпературна морозильна камера вертикального типу від -10 °С до - 25 °С  на 270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316 л. (+/- 10 л.) або еквівалент; Термосумка багаторазового застосування для використання при транспортуванні та тимчасовому зберіганні медичних імунобіологічних, фармацевтичних та інших термолабільних препаратів зі з’ємною кришкою на 42 літрів або еквівалент; Фармацевтичний (лабораторний) холодильник для зберігання медичних препаратів, вакцин, препаратів крові та компонентів крові  315 л. (+/- 10 л.) або еквівалент; Низькотемпературна морозильна камера вертикального типу від -10 °С до - 25 °С  на 90 л (+/- 10 л.)  або еквівалент; Фармацевтичний (лабораторний) холодильник для зберігання медичних препаратів, вакцин, препаратів крові та компонентів крові  130 л. (+/- 10 л.) або еквівалент</t>
  </si>
  <si>
    <t>Нитки</t>
  </si>
  <si>
    <t>Номер договору</t>
  </si>
  <si>
    <t>ОЛЄЙНІКОВА ОКСАНА КОСТЯНТИНІВНА</t>
  </si>
  <si>
    <t>ОЛЕКСЕНКО НАТАЛІЯ ВОЛОДИМИРІВНА</t>
  </si>
  <si>
    <t>Обладнання для газових мереж</t>
  </si>
  <si>
    <t>Обладнання для передавання даних</t>
  </si>
  <si>
    <t xml:space="preserve">Обслуговування  програмного забезпечення </t>
  </si>
  <si>
    <t>Обслуговування високоточного обладнання</t>
  </si>
  <si>
    <t>Обслуговування програмного забезпечення</t>
  </si>
  <si>
    <t xml:space="preserve">Обслуговування програмного забезпечення </t>
  </si>
  <si>
    <t>Одяг медичний; Одяг медичний; Одяг медичний</t>
  </si>
  <si>
    <t>Організатор</t>
  </si>
  <si>
    <t>Ортопедичні вироби</t>
  </si>
  <si>
    <t>Освітні послуги 80570000-0 Послуги з професійної підготовки у сфері підвищення кваліфікації</t>
  </si>
  <si>
    <t>Основні неорганічні хімічні речовини</t>
  </si>
  <si>
    <t>Основні органічні хімічні речовини</t>
  </si>
  <si>
    <t xml:space="preserve">Особиста медична книжка </t>
  </si>
  <si>
    <t>Офісне устаткування та приладдя різне</t>
  </si>
  <si>
    <t>Офісні меблі</t>
  </si>
  <si>
    <t>Охорона майна та обслуговування сигналізації</t>
  </si>
  <si>
    <t>Охоронні послуги</t>
  </si>
  <si>
    <t>П0335291</t>
  </si>
  <si>
    <t>П0336204</t>
  </si>
  <si>
    <t>П0393029</t>
  </si>
  <si>
    <t>П0398353</t>
  </si>
  <si>
    <t>П0403807</t>
  </si>
  <si>
    <t>ПЕРЕДЕРІЙ МИХАЙЛО МИХАЙЛОВИЧ</t>
  </si>
  <si>
    <t>ПЕРМІНОВ СЕРГІЙ ОЛЕКСАНДРОВИЧ</t>
  </si>
  <si>
    <t>ПЕТЛЕНКО ВАЛЕРІЙ ІВАНОВИЧ</t>
  </si>
  <si>
    <t>ПЕТРИШИН СЕРГІЙ МИХАЙЛОВИЧ</t>
  </si>
  <si>
    <t>ПК-ФПЗ-004-25</t>
  </si>
  <si>
    <t>ПК-ФПЗ-004-26</t>
  </si>
  <si>
    <t>ПЛ-271</t>
  </si>
  <si>
    <t>ПЛ-274</t>
  </si>
  <si>
    <t>ПЛ-275</t>
  </si>
  <si>
    <t>ПЛ-276</t>
  </si>
  <si>
    <t>ПЛ-35</t>
  </si>
  <si>
    <t>ПЛ-36</t>
  </si>
  <si>
    <t>ПЛ-37</t>
  </si>
  <si>
    <t>ПЛ-38</t>
  </si>
  <si>
    <t>ПЛ-39</t>
  </si>
  <si>
    <t>ПЛ-479</t>
  </si>
  <si>
    <t>ПЛТ01999655</t>
  </si>
  <si>
    <t>ПЛТ1999655</t>
  </si>
  <si>
    <t>ПОЛТАВА ВІРА СЕМЕНІВНА</t>
  </si>
  <si>
    <t>ПОЛТАВСЬКА ОБ'ЄДНАНА ФІЛІЯ АКЦІОНЕРНОГО ТОВАРИСТВА "ПОЛТАВАОБЛЕНЕРГО"</t>
  </si>
  <si>
    <t>ПОЛТАВСЬКА ОБЛАСНА ОРГАНІЗАЦІЯ УКРАЇНСЬКОГО ТОВАРИСТВА ГЛУХИХ</t>
  </si>
  <si>
    <t>ПОЛТАВСЬКА ФІЛІЯ ТОВАРИСТВА З ОБМЕЖЕНОЮ ВІДПОВІДАЛЬНІСТЮ "ПОЖЕЖНЕ СПОСТЕРІГАННЯ"</t>
  </si>
  <si>
    <t>ПОЛТАВСЬКЕ КОМУНАЛЬНЕ АВТОТРАНСПОРТНЕ ПІДПРИЄМСТВО 1628</t>
  </si>
  <si>
    <t>ПОЛТАВСЬКЕ ОБЛАСНЕ КОМУНАЛЬНЕ ВИРОБНИЧЕ ПІДПРИЄМСТВО ТЕПЛОВОГО ГОСПОДАРСТВА "ПОЛТАВАТЕПЛОЕНЕРГО"</t>
  </si>
  <si>
    <t>ПОЛТАВСЬКИЙ ДЕРЖАВНИЙ МЕДИЧНИЙ УНІВЕРСИТЕТ</t>
  </si>
  <si>
    <t>ПОЛТАВСЬКИЙ ОБЛАСНИЙ ВУЗОЛ СПЕЦІАЛЬНОГО ЗВ'ЯЗКУ ДЕРЖАВНОГО ПІДПРИЄМСТВА СПЕЦІАЛЬНОГО ЗВ'ЯЗКУ</t>
  </si>
  <si>
    <t>ПРИВАТНА УСТАНОВА "УНІВЕРСИТЕТ "КИЇВСЬКА ШКОЛА ЕКОНОМІКИ"</t>
  </si>
  <si>
    <t>ПРИВАТНЕ АКЦІОНЕРНЕ ТОВАРИСТВО "ВФ УКРАЇНА"</t>
  </si>
  <si>
    <t>ПРИВАТНЕ ПІДПРИЄМСТВО "ІНФУЗІЯ"</t>
  </si>
  <si>
    <t>ПРИВАТНЕ ПІДПРИЄМСТВО "ЕКОКУЛ"</t>
  </si>
  <si>
    <t>ПРИВАТНЕ ПІДПРИЄМСТВО "ОХОРОНА "АНТАРЕС-2000"</t>
  </si>
  <si>
    <t>ПРИВАТНЕ ПІДПРИЄМСТВО "ПРОФЕСІОНАЛ С/Т"</t>
  </si>
  <si>
    <t>ПРИВАТНЕ ПІДПРИЄМСТВО "ТЕЛЕРАДІОКОМПАНІЯ "ПіТіВі"</t>
  </si>
  <si>
    <t>ПРИВАТНЕ ПІДПРИЄМСТВО "ТЕХНОІНФОМЕД-2"</t>
  </si>
  <si>
    <t>ПРИВАТНЕ ПІДПРИЄМСТВО ПОЛТАВСЬКЕ БЮРО ТЕХНІЧНОЇ ІНВЕНТАРИЗАЦІЇ "ІНВЕНТАРИЗАТОР"</t>
  </si>
  <si>
    <t>ПРОЦЕНКО ВОЛОДИМИР ОЛЕКСАНДРОВИЧ</t>
  </si>
  <si>
    <t>ПУБЛІЧНЕ АКЦІОНЕРНЕ ТОВАРИСТВО "НАЦІОНАЛЬНА АКЦІОНЕРНА СТРАХОВА КОМПАНІЯ "ОРАНТА"</t>
  </si>
  <si>
    <t>Пакети для сміття</t>
  </si>
  <si>
    <t>Пакети оновлення комп'ютерної програми "М.Е.Doc"</t>
  </si>
  <si>
    <t>Пакети програмного забезпечення для забезпечення безпеки</t>
  </si>
  <si>
    <t>Пакети програмного забезпечення для захисту від вірусів</t>
  </si>
  <si>
    <t>Паперові чи картонні реєстраційні журнали</t>
  </si>
  <si>
    <t>Папір для друку, А4, 80 г/м², СIE 150%,  103 мкм, 91%, 500 арк., білий</t>
  </si>
  <si>
    <t>Папір офісний, форматний</t>
  </si>
  <si>
    <t>Папір санітарно-гігієнічного призначення</t>
  </si>
  <si>
    <t>Пара, гаряча вода та пов’язана продукція (Постачання теплової енергії)</t>
  </si>
  <si>
    <t>Пара, гаряча вода та пов’язана продукція (теплова енергія)</t>
  </si>
  <si>
    <t>Парфуми, засоби гігієни та презервативи</t>
  </si>
  <si>
    <t>Пелюшка одноразова, розмір: 60 x  90 см, гіпоалергенна, з абсорбуючим матеріалом, з адгезивним краєм, Целюлоза, стерильна; Підгузки для дорослих, Універсальні, Одноразові, Охоплення талії: 120(±5см)-170(±5см) см; Пелюшки одноразові: нестерильні, з Абсорбуючим матеріалом, Гіпоалергенні, без Адгезивного краю, Водонепроникна зворотня сторона пелюшки, Матеріал: Целюлоза, Ширина: 60 см, Довжина: 90 см, Поглинання: від 1400 мілілітрів; Пелюшка одноразова, розмір: 75 x  90 см, з абсорбуючим матеріалом, без адгезивного краю, Целюлоза, стерильна</t>
  </si>
  <si>
    <t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або іншими біологічними рідинами ( кисневі маски, шприци без надітої голки), ЗІЗ 8510.2.9.06; Перевезення та видалення відходів, збирання та видалення яких обумовлено спеціальними вимогами для запобігання виникненню інфекцій 18 01 03*, 18 02 02 органні відходи (тканини, органи, частини тіла, плацента, ембріони)8510.2.9.04</t>
  </si>
  <si>
    <t xml:space="preserve">Перевезення та видалення відходів, збирання та видалення яких обумовлено спеціальними вимогами для запобігання виникненню інфекцій 18 01 03* Використані небезпечно гострі предмети, забруднені біологічними рідинами (голки, шприци з одягненою голкою, скальпелі та їхні леза, битий скляний посуд, внутрішньовенні катетери, ланцети для забору крові  8510.2.9.01; Перевезення та видалення відходів, збирання та видалення яких обумовлено спеціальними вимогами для запобігання виникненню інфекцій 18 01 03* медичні відходи/предмети забруднені імунобіологічними лікарськими засобами,  кров’ю та/або іншими біологічними рідинами ( кисневі маски, шприци без надітої голки), ЗІЗ  18 01 03*; Перевезення та видалення відходів, збирання та видалення яких обумовлено спеціальними вимогами для запобігання виникненню інфекцій 18 02 02* органні відходи (тканини, органи, частини тіла); Перевезення та видалення відходів, збирання та видалення яких обумовлено спеціальними вимогами для запобігання виникненню інфекцій 18 01 03* органні відходи (плацента, ембріони); Перевезення та видалення відходів, збирання та видалення яких обумовлено спеціальними вимогами для запобігання виникненню інфекцій 18 01 03* Перев’язувальний матеріал, гіпсові пов’язки, простирадла, одноразовий одяг, підгузки; Перевезення та видалення відходів, збирання та видалення яких обумовлено спеціальними вимогами для запобігання виникненню інфекцій 18 01 03* Імунобіологічні  лікарські засоби, із закінченим строком придатності, із візуально зміненими характеристиками    ; Перевезення та видалення відходів, збирання та видалення яких обумовлено спеціальними вимогами для запобігання виникненню інфекцій 18 01 08* Цитотоксичні та цитостатичні лікарські  препарати  із закінченим строком придатності, із візуально зміненими характеристиками    ; Перевезення та видалення відходів: люмінесцентні лампи та інші ртуть вмісні відходи  20 01 21* Відпрацьовані люмінісцентні лампи, енергозберігаючі, бактерицидні </t>
  </si>
  <si>
    <t>Перевірка вентиляційних систем</t>
  </si>
  <si>
    <t>Періодичний технічний огляд ліфтів</t>
  </si>
  <si>
    <t>Періодичний технічний огляд платформ</t>
  </si>
  <si>
    <t>Періодичні видання</t>
  </si>
  <si>
    <t xml:space="preserve">Періодичні спеціалізовані  видання </t>
  </si>
  <si>
    <t>Петрів Ніна Нугзарівна</t>
  </si>
  <si>
    <t>Питна вода</t>
  </si>
  <si>
    <t>Плазма кроляча цитратна суха уп. (10 амп) ; Антиген кардіоліпіновий для РМП з контролем; Смужки індикаторні Ацетонтест № 50; Калібрувальний розчин для аналізатора електролітів Convergys® ISE comfort, Рівень 1, 480 мл; Калібрувальний розчин для аналізатора електролітів Convergys® ISE comfort, Рівень 2, 200 мл; Трьохрівневий контрольний розчин для аналізатора електролітів Convergys® ISE comfort, 4*10 мл ; Розчин для очищення Convergys ISE (4×10 мл);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Імерсійна рідина для мікроскопії, 100 мл ; Реагент анти - C3d IgM/IgG (проба Кумбса);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для визначення РФ латекс-тест; Набір для визначення АСЛО латекс-тест; Набір для визначення СРБ латекс-тест; Набір реагентів "Забарвлення за Цілем-Нільсеном"; Набір реагентів "Забарвлення за Грамом"; Набір для визначення РетикулоФарб; Набір для визначення тимолової проби Філісіт; Желатину розчин 10% (10 ампул в упаковці); Гемоглобін - контроль (ГК-3); Набір для визначення гемоглобіну; Еозин метиленовий синій Май Грюнвільда; Набір реактивів Азофенол; Кювети для коагуглометрів SC20 SC4D "Stellex"; Концентрат системного реагенту для аналізатора глюкози АГКМ-01; Калібратор глюкози та лактату для аналізатора глюкози АГКМ-01; Системний розчин  Senso Star GL Hsix (300 мл); Капсули для зразків SensoStar GLHsix 10/500 Hb 10*100 капсул ; Контроль Патологія, Контрольні капсули (червоні) 1*50 шт Senso Star GL  Hsix; Контроль Норма, Контрольні капсули (оранжеві) 1*50 шт  Senso Star GL  Hsix; Стандарт ФС, калібрувальні капсули (зелені) 1*100 шт Senso Star GL Hsix ; Прокальцитонін РСТ, кількісний імуноферментний набір; Реагент Diluent DIL-C (20 л); Реагент Lyse LYD-1 (200 мл); Реагент Lyse LYD-2 (500 мл); Реагент Cleanser CLE-P (50мл) ; Контрольний матеріал CBC-DH 3.0 мл, нормальний рівень   ; Тест картридж BG10 (25 картриджів/упак) (4 упак/наб); BGE Контроль якості, рівень 2 (5 2 ампул/набір) (BGE Quality Control-Level 2); Пакет калібрувальної рідини для EDAN i15 (вальної рідини пакет калібру)  СР50 (50 тестів/упаковка); Сухий поживний агар; Сухий поживний бульйон; Бакагар Плоскирева; Вісмут-сульфіт агар; Сольовий агар з манітом; Середовище Мюллера Хінтона; Середовище Мюллера Хінтона з метеленовим синім; Агар Сабуро з хлорамфекіколом; Середовище Олькеницького; Набір для приготування шоколадного агару SM103H; Набір для приготування гонококового агару SM434; Набір дисків КРС &amp;MBL&amp;OXA-48; Хромогенний агар СНOMAGAR strept B; Хромогенне середовище для виділення і ідентифікації потагенів сечових шляхів CHOM orientation; Хромогенне середовище СНOMAGAR ESBL; Етерокок агар; Поживний напіврідкий агар; Селенітовий бульон; Триптофановий бульон (Середовище 15); Середовище Хью-Лейфсона для тесту ОФ; Середовище Хью-Лейфсона ; Бульйнон Сабуро; Диски з азтреонамом 30 мкг, №100; Диски з амікацином 30 мкг, №100; Диски з амоксиклавом 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 10/10 мкг, №100; Диски з левофлоксацином 5 мкг, №100; Диски з лінезолідом 10 мкг, №100; Диски з меропенемом 10 мкг, №100; Диски з нітрофурантоїном 100мкг, №100; Диски з оксациліном 1 мкг, №100; Диски з оптохіном для ідентифікації стрептококів пневмонія, №100; Диски з цефтазидим клавуланатом 30/10, №50; Диски з цефотаксим клавулагнатом 30/10, №100; Диски з фосфоміцином 200 мкг, №100; Диски з пеніциліном 1 ОД, №100; Диски з кліндаміцином 2 мкг, №100; Диски з цефокситином 30 мкг, №100; Диски з цефтазидимом 10 мкг, №100; Диски з цефтріаксоном 30 мкг, №100; Диски з ципрофлоксацином 5 мкг, №100; Диски з хлорамфеніколом, №100; Диски з піперациліном/тазобактамом 16мкг, №100; Диски з пефлоксацином 5 мкг, №100; Диски з цефепімом, №100; ГІПУРАТ-тест; Реактив для теста Гіпурат; Реактив для теста ПІР; ОКСІ-тест; Реактив для теста Нітрати; Двофазні системи для аеробів і анаеробів для дорослих 10фл\уп LQ012; Двофазні системи для аеробів і анаеробів для дітей 10фл\уп LQ033; Еталонний штам Escherichia coli ATCC 25922; Еталонний штам Staphylococcus aureus ATCC29213; Еталонний штам Pseudomonas aeruginosa ATCC27853; Еталонний штам Klebsiella pneumoniae ATCC 700603; Еталонний штам Candida albicans ATCC  10231; Еталонний штам Enterococcus faecalis ATCC29212; Тест стандарт МакФарланда; Набір для визначення РФМК (флаконний); Філісіт-КетоСкрин; Набір для визначення глюкози; Д-димер, кількісний 2 імуноферментний набір; Тіаглікольове середовище М009; Агар лізинів залізовмісний; Уреазний агар Кристенсена; Цитратний агар Сіммонса; Менінгокооквий агар; Лужний агар; Лужна пептонна вода; Ацетатний агар; Фенілалланін агар; Розчин сечовини 40%, 50мл; Розчин метиленового синього 50мл; Розчин трифенілтетразолію хлориду 1% 5фл. (5мл); Розчин знебарвлюючий; Емульсія яєчного жовтка, 100мл; Реактив Ковача, 50мл; Реактив Люголя, 50мл; Тест-смужки з реактивом Ковача 25шт\уп; ПІРА-тест; Реактив для теста Фенілаланін</t>
  </si>
  <si>
    <t>Пластина для проксимального відділу плечової кістки та комплект гвинтів: 8 блок. та 4 кортик., Універс., отв. пл. Комб., L:пл. 90-354 мм, Ø отв. 3,5 мм, Ø гв. бл.3,5 мм, Ø гв. корт. 3,5 мм, кіл. отв. 2-18, L:гв. бл. 6-130, L:гв. корт. 6-130; Пластина для проксимального відділу плечової кістки та комплект гвинтів: 8 блок. та 4 кортик., Універс., отв. пл. Комб., L:пл. 80-344 мм, Ø отв. 3,5 мм, Ø гв. бл.3,5 мм, Ø гв. корт. 3,5 мм, кіл. отв. 2-18, L:гв. бл. 6-130, L:гв. корт. 6-130; Пластина великогомілкова дистально-медіальна та комплект гвинтів: 8 блок. та 4 кортик., Ліве, отв. пл. Комб., L:пл. 60-390 мм,Øотв.3,5 мм та 5,0 мм,Øгв. бл.3,5 мм та 5,0 мм,Øгв. корт. 4,5 мм, кіл. отв.2-18, L:гв. бл. 6-130, L:гв. корт.6-130; Пластина великогомілкова дистально-медіальна та комплект гвинтів: 8 блок. та 4 кортик., Праве, отв. пл. Комб., L:пл. 60-390 мм,Øотв.3,5 мм та 5,0 мм,Øгв. бл.3,5 мм та 5,0 мм,Øгв. корт. 4,5 мм, кіл. отв.2-18, L:гв. бл. 6-130, L:гв. корт.6-130; Пластина пряма реконструктивна та комплект гвинтів: 4 блок. та 2 кортик., Універс., отв. пл. Комб., L:пл. 28-308 мм, Ø отв. 3,5 мм, Ø гв. бл.3,5 мм, Ø гв. корт. 3,5 мм, кіл. отв. 2-22, L:гв. бл. 6-130, L:гв. корт. 6-130; Пластина для ключиці гачкопод., компл. : 4 блок. та 2 кортик., титан. сп, анод., праве, комб. отвори, L: пл. 40-200мм, Ø отв. під гв. 3,5мм, Ø гв. бл. 3,5мм, Ø гв. корт.3,5мм, отв. 2-12, H: гачк. пл. 12мм L: гв. бл. 6-130, L: гв. корт. 6-130; Пластина для ключиці гачкоподібна (виконання ліве, мін. отворів ≤ 4, макс. отворів ≥ 5) та комплект гвинтів: 4 блокуючих (L мін. ≤ 15мм, L макс. ≥ 50 мм) та 2 кортикальних (L мін. ≤ 15мм, L макс. ≥ 50 мм); Пластина для ключиці S-подібна та комплект гвинтів: 4 блок. та 2 кортик., Праве,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Ліве, отв. пл. Комб., L:пл. 20-300 мм, Ø отв. 3,5 мм, Ø гв. бл.3,5 мм, Ø гв. корт. 3,5 мм, кіл. отв. 2-18, L:гв. бл. 6-130, L:гв. корт. 6-130; Пластина для ключиці S-подібна та комплект гвинтів: 4 блок. та 2 кортик., Праве, отв. пл. Комб., L:пл. 25-285 мм, Ø отв. 3,5 мм, Ø гв. бл.3,5 мм, Ø гв. корт. 3,5 мм, кіл. отв. 2-18, L:гв. бл. 6-130, L:гв. корт. 6-130; Пластина пряма реконструктивна (виконання ліве, мін. отворів ≤ 6, макс. отворів ≥ 8) та комплект гвинтів: 4 блокуючих (L мін. ≤ 20мм, L макс. ≥60мм) та 2 кортикальних (L мін. ≤ 20мм, L макс. ≥ 60мм); Пластина для дистального відділу променевої кістки та комплект гвинтів: 8 блок. та 4 кортик., Праве, отв. пл. Комб., L:пл. 40-240 мм,Øотв.2,4/2,7 мм,Øгв. бл.2,4/2,7 мм,Øгв. корт. 2,4/2,7 мм, кіл. отв.2-10, L:гв. бл. 6-130, L:гв. корт.6-130; Пластина для дистального відділу променевої кістки та комплект гвинтів: 8 блок. та 4 кортик., Ліве, отв. пл. Комб., L:пл. 40-240 мм, Ø отв. 2,4/2,7 мм, Ø гв. бл.2,4/2,7 мм, Ø гв. корт. 2,4/2,7 мм, кіл. отв. 2-10, L:гв. бл. 6-130, L:гв. корт. 6-130; П’яткова пластина – 1 шт. та комплект гвинтів: 8 блок. та 4 кортик., Праве, отв. пл. Комб., L:пл. 65-75 мм, Ø отв. 3,5 мм, Ø гв. бл.3,5 мм, Ø гв. корт. 3,5 мм, кіл. отв. 6-7, L:гв. бл. 10-130, L:гв. корт. 10-120; П’яткова пластина – 1 шт. та комплект гвинтів: 8 блок. та 4 кортик., Ліве, отв. пл. Комб., L:пл. 65-75 мм, Ø отв. 3,5 мм, Ø гв. бл.3,5 мм, Ø гв. корт. 3,5 мм, кіл. отв. 6-7, L:гв. бл. 10-130, L:гв. корт. 10-120; Пластина для фалангів пальців Т-подібна та комплект гвинтів: 4 блок. та 2 кортик., Універс., отв. пл. Комб., L:пл. 8-80 мм, Ø отв. 2,0 мм, Ø гв. бл.2,0 мм, Ø гв. корт. 2,0 мм, кіл. отв. 2-20, L:гв. бл. 6-130, L:гв. корт. 6-130; Пластина для фаланг пальців пряма (виконання універсальне, мін. отворів ≤ 4, макс. отворів ≥ 6) та комплект гвинтів: 4 блокуючих (L мін. ≤ 10мм, L макс. ≥30мм) та 2 кортикальних (L мін. ≤ 10мм, L макс. ≥ 30мм); Дистальна малогомілкова LCP-пластина та комплект гвинтів: 5 блок. та 2 кортик., Праве, отв. пл. Комб., L:пл. 30-350 мм,Øотв.3,5 мм та 2,4/2,7 мм,Øгв. бл.3,5 мм та 2,4/2,7 мм,Øгв. корт. 3,5 мм, кіл. отв.2-18, L:гв. бл. 6-130, L:гв. корт.20-130; Дистальна малогомілкова LCP-пластина та комплект гвинтів: 5 блок. та 2 кортик., Ліве, отв. пл. Комб., L:пл. 30-350 мм,Øотв.3,5 мм та 2,4/2,7 мм,Øгв. бл.3,5 мм та 2,4/2,7 мм,Øгв. корт. 3,5 мм, кіл. отв.2-18, L:гв. бл. 6-130, L:гв. корт.6-130</t>
  </si>
  <si>
    <t>Пластир стерильний 20,0см x 9,0-10,0см пов'язка; Пластир, 10,0см x 6,0см, стерильний, хірургічний, пов'язка, гіпоалергенний, нетканна основа з абсорбуючою подушкою; Пластир фіксуючий, нестерильний, 7см х 6 см, гіпоалергенний, полімерна основа, повязка; Пластир нестерильний 500,0см x 2,0см котушка/рулон, бавовна; Пластир стерильний 6,0см x 8,0см фіксуючий неткана основа; Пластир нестерильний 1000,0см x 5.0см котушка/рулон; Пластир нестерильний 1000,0см x 10.0см котушка/рулон; Пластир: Фіксуючий, не Бактерицидний, Основа: Нетканна, з Поліестру, без абсорбуючої подушки, Гіпоалергенний, Довжина: 200.0 сантиметр, Ширина: 10.0 сантиметр, в Рулоні; Джгут венозний з пластиковою застібкою; Пластир нестерильний 500,0см x 2,5см котушка/рулон; Пластир</t>
  </si>
  <si>
    <t>Пластмасові вироби</t>
  </si>
  <si>
    <t>Плити, листи, стрічки та фольга, пов’язані з конструкційними матеріалами</t>
  </si>
  <si>
    <t>Плт/002014-JAR</t>
  </si>
  <si>
    <t>Плт/002556-JAR</t>
  </si>
  <si>
    <t xml:space="preserve">Пов'язка на рану, попередньо змочена розчином Рінгера для вологої терапії ран HydroClean® 8см х 14см 10шт; Пов’язка атравматична мазева Atrauman® 10см х 20см 30шт ; Пов’язка атравматична мазева Atrauman® 7,5см х 10см 10шт ; Пов’язки, просочені сріблом Atrauman® Ag, 10 x 10 cm (см), 10шт. в упаковці ; Пов'язка сорбційна Zetuvit® 20см х 40см 5шт </t>
  </si>
  <si>
    <t>Повітрозабірні фільтри</t>
  </si>
  <si>
    <t>Подушки</t>
  </si>
  <si>
    <t>Покривання підлоги та стін</t>
  </si>
  <si>
    <t>Покрівельні роботи та інші спеціалізовані будівельні роботи</t>
  </si>
  <si>
    <t>Полівінілхлоридні пінопласти</t>
  </si>
  <si>
    <t>Поліетиленові мішки та пакети для сміття</t>
  </si>
  <si>
    <t>Послуга з заміни трубок подачі системного розчину зі з'єднувачем для Аналізатора глюкози та лактазу SensoStar GIHsix</t>
  </si>
  <si>
    <t>Послуга з технічного обслуговування пожежної сигналізації</t>
  </si>
  <si>
    <t>Послуги з видалення дерев</t>
  </si>
  <si>
    <t>Послуги з випробувань та аналізу складу і чистоти</t>
  </si>
  <si>
    <t xml:space="preserve">Послуги з забезпечення технологічних вимог для інсталяції медичного обладнання </t>
  </si>
  <si>
    <t>Послуги з керування мережами даних</t>
  </si>
  <si>
    <t>Послуги з керування мережами даних і з підтримки мереж даних</t>
  </si>
  <si>
    <t>Послуги з монтажу профільних металевих конструкцій</t>
  </si>
  <si>
    <t>Послуги з надання 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</si>
  <si>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</t>
  </si>
  <si>
    <t>Послуги з надання доступу в режимі он-лайн до електронних баз наукової та науково-технічної інформації, інформаційного ресурсу Експертус Кардри</t>
  </si>
  <si>
    <t>Послуги з облицювання поверхонь стін керамічною плиткою за адресою  м. Полтава, вул. О. Гончара 21-А</t>
  </si>
  <si>
    <t>Послуги з облицювання поверхонь стін та підлоги керамічною плиткою</t>
  </si>
  <si>
    <t>Послуги з обробки даних</t>
  </si>
  <si>
    <t xml:space="preserve">Послуги з обробки даних </t>
  </si>
  <si>
    <t>Послуги з обслуговування наземних видів транспорту</t>
  </si>
  <si>
    <t>Послуги з оформлення передплати на друковані медіа</t>
  </si>
  <si>
    <t>Послуги з охорони об'єкта з використанням охоронної сигналізації за адресою  м. Полтава, вул. О. Гончара 27А (відділення ментального здоров'я)</t>
  </si>
  <si>
    <t>Послуги з охорони об’єктів та особистої охорони</t>
  </si>
  <si>
    <t>Послуги з поточного ремонту м'якої покрівлі лікарняного аптечного пункту КП "1-а МКЛ ПМР"</t>
  </si>
  <si>
    <t>Послуги з поточного ремонту м'якої покрівлі структурного підрозділу КП "1-а МКЛ ПМР" (перинатального центру)</t>
  </si>
  <si>
    <t>Послуги з поточного ремонту м'якої покрівлі харчоблоку КП "1-а МКЛ ПМР"</t>
  </si>
  <si>
    <t>Послуги з поточного ремонту мережі водопостачання, водовідведення та сантехсистем структурного підрозділу КП "1-А МКЛ ПМР"  за адресою м. Полтава, вул. Олеся Гончара 27В</t>
  </si>
  <si>
    <t>Послуги з поточного ремонту мережі водопостачання, водовідведення та сантехсистем структурного підрозділу КП "1-А МКЛ ПМР" за адресою м. Полтава, вул. Олеся Гончара 27А</t>
  </si>
  <si>
    <t>Послуги з поточного ремонту приміщень відділення</t>
  </si>
  <si>
    <t>Послуги з поточного ремонту приміщень відділення лікарні</t>
  </si>
  <si>
    <t>Послуги з поточного ремонту та щорічного технічного обслуговування (EDC10T2) Сушильна шафа для ендоскопів EDC (серійний номер: 22620), в комплекті ; Послуги з поточного ремонту та щорічного технічного обслуговування Миюча машина DSD-201 (серійний номер: 13135197), в комплекті</t>
  </si>
  <si>
    <t>Послуги з поточного ремонту та щорічного технічного обслуговування Апарат для анестезії Leon Plus (серійний номер: 0200010HUL32010546), в комплекті; Послуги з поточного ремонту та щорічного технічного обслуговування Апарат для анестезії Leon Plus (серійний номер: 0200010HUL99911553), в комплекті; Послуги з поточного ремонту та щорічного технічного обслуговування Апарат для анестезії Leon Plus (серійний номер: 0200010hul99911758), в комплекті; Послуги з поточного ремонту та щорічного технічного обслуговування Апарат для анестезії Leon Plus (серійний номер: 0200010HUL99912960), в комплекті; Послуги з поточного ремонту та щорічного технічного обслуговування Апарат для анестезії Leon (серійний номер: 0200020HUL00301738), в комплекті; Послуги з поточного ремонту та щорічного технічного обслуговування Апарат для анестезії Leon (серійний номер: 0200020HUL00302435), в комплекті;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0217004HUL99971028), в комплекті;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0217004hul99971731), в комплекті ; Послуги з поточного ремонту та щорічного технічного обслуговування Апарат штучної вентиляції легень для новонароджених та дітей Leoni plus (серійний номер: 0217004hul99971814), в комплекті; Послуги з поточного ремонту та щорічного технічного обслуговування Апарат штучної вентиляції легенів HAMILTON-C3 (серійний номер: 16262), в комплекті ; Послуги з поточного ремонту та щорічного технічного обслуговування Апарат штучної вентиляції легенів HAMILTON-C3 (серійний номер: 16449), в комплекті; Послуги з поточного ремонту та щорічного технічного обслуговування Апарат штучної вентиляції легенів HAMILTON-C3 (серійний номер: 17213), в комплекті; Послуги з поточного ремонту та щорічного технічного обслуговування Апарат штучної вентиляції легенів HAMILTON-C1 (серійний номер: 18665), в комплекті; Послуги з поточного ремонту та щорічного технічного обслуговування Апарат штучної вентиляції легенів HAMILTON-C1 (серійний номер: 18954), в комплекті; Послуги з поточного ремонту та щорічного технічного обслуговування Апарат штучної вентиляції легенів HAMILTON-C1 (серійний номер: 19426), в комплекті ; Послуги з поточного ремонту та щорічного технічного обслуговування Апарат штучної вентиляції легенів HAMILTON-C1 (серійний номер: 19442), в комплекті; Послуги з поточного ремонту та щорічного технічного обслуговування Апарат штучної вентиляції легенів HAMILTON-C1 (серійний номер: 19443), в комплекті; Послуги з поточного ремонту та щорічного технічного обслуговування Апарат штучної вентиляції легенів HAMILTON-C1 (серійний номер: 19444), в комплекті; Послуги з поточного ремонту та щорічного технічного обслуговування Апарат штучної вентиляції легенів HAMILTON-C6 (серійний номер: 4741), в комплекті; Послуги з поточного ремонту та щорічного технічного обслуговування Апарат штучної вентиляції легенів HAMILTON-C6 (серійний номер: 6473), в комплекті; Послуги з поточного ремонту та щорічного технічного обслуговування Апарат для анестезії Leon (серійний номер: 0200020HUL00301734), в комплекті</t>
  </si>
  <si>
    <t>Послуги з поточного ремонту та щорічного технічного обслуговування системи рентгенографічної та флюороскопічної XCELLENCE DYNAMIC (серійний номер: DQJ075); Послуги з поточного ремонту та щорічного технічного обслуговування апарата рентгенівського мобільного TXL-W8 (серійний номер: PKL13090); Послуги з поточного ремонту та щорічного технічного обслуговування апарата рентгенівського мобільного TXL-W8 (серійний номер: PKL14030)</t>
  </si>
  <si>
    <t>Послуги з поточного ремонту транспортних засобів</t>
  </si>
  <si>
    <t>Послуги з проведення технічного обслуговування та оперативного контролю системи подачі кисню</t>
  </si>
  <si>
    <t>Послуги з професійної підготовки спеціалістів</t>
  </si>
  <si>
    <t>Послуги з професійної підготовки у сфері безпеки</t>
  </si>
  <si>
    <t>Послуги з профілактичних електротехнічних вимірів</t>
  </si>
  <si>
    <t>Послуги з радіаційного захисту</t>
  </si>
  <si>
    <t>Послуги з ремонту корпусних меблів</t>
  </si>
  <si>
    <t>Послуги з ремонту стола кутового</t>
  </si>
  <si>
    <t>Послуги з ремонту і технічного обслуговування</t>
  </si>
  <si>
    <t>Послуги з ремонту і технічного обслуговування  контрольних приладів</t>
  </si>
  <si>
    <t>Послуги з ремонту і технічного обслуговування будівельних конструкцій</t>
  </si>
  <si>
    <t>Послуги з ремонту і технічного обслуговування вимірювальних, випробувальних і контрольних приладів</t>
  </si>
  <si>
    <t xml:space="preserve">Послуги з ремонту і технічного обслуговування електричного устаткування </t>
  </si>
  <si>
    <t>Послуги з ремонту і технічного обслуговування електричного і механічного устаткування будівель</t>
  </si>
  <si>
    <t>Послуги з ремонту і технічного обслуговування електродвигунів</t>
  </si>
  <si>
    <t>Послуги з ремонту і технічного обслуговування захисного обладнання</t>
  </si>
  <si>
    <t>Послуги з ремонту і технічного обслуговування медичного та хірургічного обладнання</t>
  </si>
  <si>
    <t>Послуги з ремонту і технічного обслуговування насосів, клапанів, кранів і металевих контейнерів</t>
  </si>
  <si>
    <t>Послуги з ремонту і технічного обслуговування персональних комп’ютерів</t>
  </si>
  <si>
    <t>Послуги з ремонту і технічного обслуговування протипожежного обладнання.</t>
  </si>
  <si>
    <t>Послуги з ремонту і технічного обслуговування техніки</t>
  </si>
  <si>
    <t>Послуги з ремонтування і технічного обслуговування  обладнання</t>
  </si>
  <si>
    <t>Послуги з ремонтування і технічного обслуговування високоточного обладнання</t>
  </si>
  <si>
    <t>Послуги з розподілу електричної енергії</t>
  </si>
  <si>
    <t>Послуги з розробки , технічного обслуговування, внесення змін та доповнень у програмне забезпечення "Комп'ютерна програма "Дорадо"</t>
  </si>
  <si>
    <t>Послуги з різних видів ремонту і технічного обслуговування</t>
  </si>
  <si>
    <t>Послуги з різних видів технічного обслуговування</t>
  </si>
  <si>
    <t>Послуги з сервісного обслуговування та ремонту кондиціонерів</t>
  </si>
  <si>
    <t>Послуги з сервісного технічного обслуговування та градуювання приладу</t>
  </si>
  <si>
    <t>Послуги з технічного аналізу чи консультаційні послуги</t>
  </si>
  <si>
    <t>Послуги з технічного контролю</t>
  </si>
  <si>
    <t>Послуги з технічного обслуговування вентиляційного і кліматичного обладнання</t>
  </si>
  <si>
    <t xml:space="preserve">Послуги з технічного обслуговування вентиляційного і кліматичного обладнання </t>
  </si>
  <si>
    <t>Послуги з технічного обслуговування комп’ютерного томографу REVOLUTION EVO</t>
  </si>
  <si>
    <t xml:space="preserve">Послуги з технічного обслуговування комп’ютерного томографу REVOLUTION EVO </t>
  </si>
  <si>
    <t>Послуги з технічного обслуговування комп’ютерного томографу REVOLUTION EVO (послуги із заміни плати ССВ для комп’ютерного томографу Revolution EVO)</t>
  </si>
  <si>
    <t>Послуги з технічного обслуговування контрольних приладів</t>
  </si>
  <si>
    <t>Послуги з технічного обслуговування магнітно-резонансного томографу MAGNETOM Altea</t>
  </si>
  <si>
    <t xml:space="preserve">Послуги з технічного обслуговування магнітно-резонансного томографу MAGNETOM Altea </t>
  </si>
  <si>
    <t>Послуги з технічного обслуговування протипожежної сигналізації після прийняття її в експлуатацію за адресами м. Полтава вул. О. Гончара 27А; вул. О. Гончара 27В</t>
  </si>
  <si>
    <t>Послуги з технічного обслуговування телекомунікаційного обладнання</t>
  </si>
  <si>
    <t>Послуги з технічного огляду та випробовувань</t>
  </si>
  <si>
    <t>Послуги з управління медичними відходами категорії «В»,«С» з наданням пакувальної тари</t>
  </si>
  <si>
    <t>Послуги з усного перекладу</t>
  </si>
  <si>
    <t>Послуги з фарбування стін і стель</t>
  </si>
  <si>
    <t>Послуги з централізованого водопостачання та централізованого водовідведення</t>
  </si>
  <si>
    <t>Послуги з централізованого водопостачання та централізованого водовідведення за адресами м. Полтава, вул. Олеся Гончара, 21А; м. Полтава, вул. Олеся Гончара, 27В</t>
  </si>
  <si>
    <t>Послуги з централізованого водопостачання та централізованого водовідведення за адресою м. Полтава, вул. Олеся Гончара, 27А</t>
  </si>
  <si>
    <t>Послуги з цілодобового нагляду за роботою протипожежної сигналізації</t>
  </si>
  <si>
    <t>Послуги з цілодобового нагляду за роботою протипожежної сигналізації після прийняття її в експлуатацію за адресами м. Полтава вул. О. Гончара 27А;м. Полтава вул. О. Гончара 27В</t>
  </si>
  <si>
    <t>Послуги з цілодобового нагляду та технічного обслуговування протипожежної сигналізації після прийняття її в експлуатацію( відділення ментального здоров'я) за адресою м. Полтава вул. О. Гончара 27А</t>
  </si>
  <si>
    <t>Послуги з штукатурення поверхонь стін</t>
  </si>
  <si>
    <t>Послуги з штукатурення поверхонь стін в приміщеннях відділення лікарні</t>
  </si>
  <si>
    <t>Послуги з штукатурення поверхонь стін та стелі в приміщеннях вхідної групи КП "1-а МКЛ ПМР"</t>
  </si>
  <si>
    <t>Послуги з юридичного консультування та юридичного представництва</t>
  </si>
  <si>
    <t>Послуги з інвентаризації</t>
  </si>
  <si>
    <t>Послуги за кодом ДК 021:2015 45310000-3 Електромонтажні роботи</t>
  </si>
  <si>
    <t>Послуги зі встановлення витяжки в приміщенні</t>
  </si>
  <si>
    <t>Послуги зі спостереження за ручними системами тривожної сигналізації, що встановлені на об'єктах з реагуванням наряду поліції охорони за адресою м. Полтава, вул. О. Гончара 27А (Приймальне відділення)</t>
  </si>
  <si>
    <t>Послуги зі спостереження за ручними системами тривожної сигналізації, що встановлені на об'єктах з реагуванням нарядів охорони за адресою м. Полтава, вул. О. Гончара 27А (Головний корпус)</t>
  </si>
  <si>
    <t>Послуги зі спостереження за сигналізацією термінового виклику наряду охорони за адресою м. Полтава, вул. О. Гончара 27В</t>
  </si>
  <si>
    <t>Послуги лікувальних закладів та супутні послуги</t>
  </si>
  <si>
    <t>Послуги навчання і перевірка знань з питань  пожежно-технічного мінімуму працівників</t>
  </si>
  <si>
    <t>Послуги охорони об'єкта з використанням охоронної сигналізації за адресами м. Полтава, вул. О. Гончара 21А; вул. О. Гончара 27А</t>
  </si>
  <si>
    <t>Послуги по забезпеченню експлуатаційної готовності обладнання</t>
  </si>
  <si>
    <t xml:space="preserve">Послуги по обстеженню водомірного вузла </t>
  </si>
  <si>
    <t>Послуги по прочистці каналізаційної мережі</t>
  </si>
  <si>
    <t>Послуги по супроводу програмного забезпечення комп'ютерної програми та бази даних "Медична статистика"</t>
  </si>
  <si>
    <t>Послуги по технічному обслуговуванню</t>
  </si>
  <si>
    <t>Послуги подрібнення гілок та листя</t>
  </si>
  <si>
    <t>Послуги пожежних і рятувальних служб</t>
  </si>
  <si>
    <t>Послуги про проведенню програми перевірки професійного рівня шляхом міжлабораторних порівнянь результатів</t>
  </si>
  <si>
    <t>Послуги провайдерів</t>
  </si>
  <si>
    <t>Послуги страхування життя, здоров'я та працездатність осіб, які є працівниками пожежно-рятувальних  підрозділів</t>
  </si>
  <si>
    <t>Послуги страхування працівників відомчої та місцевої пожежної охорони і членів добровільних пожежних дружин (команд)</t>
  </si>
  <si>
    <t>Послуги супроводу програмного забезпечення комп'ютерної програми та бази даних "Облік медичних кадрів України"</t>
  </si>
  <si>
    <t>Послуги телефонного зв’язку</t>
  </si>
  <si>
    <t>Послуги у сфері комп'ютерних мереж</t>
  </si>
  <si>
    <t>Послуги у сфері локальних мереж</t>
  </si>
  <si>
    <t>Послуги у сфері охорони здоров’я різні</t>
  </si>
  <si>
    <t>Послуги у сфері професійної підготовки</t>
  </si>
  <si>
    <t>Послуги у сфері юстиції</t>
  </si>
  <si>
    <t>Послуги шиномонтажу</t>
  </si>
  <si>
    <t>Послуги із забезпечення перетікань реактивної електричної енергії</t>
  </si>
  <si>
    <t>Послуги, пов’язані з базами даних</t>
  </si>
  <si>
    <t>Послуги, пов’язані з програмним забезпеченням</t>
  </si>
  <si>
    <t>Послуги, пов’язані із системами та підтримкою</t>
  </si>
  <si>
    <t>Поточний ремонт приміщень відділення</t>
  </si>
  <si>
    <t>Поховальні та супутні послуги</t>
  </si>
  <si>
    <t>Пральні машини, машини для сухого чищення та сушильні машини</t>
  </si>
  <si>
    <t>Прапор</t>
  </si>
  <si>
    <t>Предмет закупівлі</t>
  </si>
  <si>
    <t>Препарати для ентерального харчування; Препарати для ентерального харчування; Препарати для ентерального харчування</t>
  </si>
  <si>
    <t>Приватне підприємство "Інфузія"</t>
  </si>
  <si>
    <t>Прилади для вимірювання величин</t>
  </si>
  <si>
    <t>Прилади для вимірювання витрати, рівня та тиску рідин і газів</t>
  </si>
  <si>
    <t>Пристрої для читання та/або запису компакт-дисків (CD)</t>
  </si>
  <si>
    <t>Пробірка вакуумна: Об'єм 3 мл., розмір: 13х75 мм, наповнювач: К3 ЕДТА, колір кришки: Бузковий, стерильна; Пробірка вакуумна: Об'єм 3,6 мл., розмір: 13х75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для забору капілярної крові, 0,25 мл, ЕДТА К3, бузкова кришка, з капіляром 8х42 мм; Пробірка вакуумна: Об'єм 8,5 мл., розмір: 16х100 мм, наповнювач: Натрій гепарин та гель, колір кришки: Зелений, стерильна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</si>
  <si>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</t>
  </si>
  <si>
    <t>Пробірка вакуумна: Об'єм 3,6 мл., розмір: 13х100 мм, наповнювач: цитрат натрію 3,8%, колір кришки: Блакитний, стерильна; Пробірка вакуумна: Об'єм 5 мл., розмір: 13х100 мм, наповнювач: Активатор згортання (кремнезем) та гель, колір кришки: Жовтий, стерильна; Пробірка типу Falcon, конічна, 15мл, кришка гвинтова із зовнішнім різьбленням, поліпропілен, прозора, центрифужна; Пробірка типу Eppendorf; Пробірка 5 мл, нестерильна, поліпропілен, без градуювання, округле дно, 12х75 мм, без кришки; Пробірка для забору капілярної крові, 0,25 мл, ЕДТА К3, бузкова кришка, з капіляром; Пробірка лабораторна (не вакуумна); Пробірка вакуумна: Об'єм 5 мл., розмір: 13х100 мм, наповнювач: К3 ЕДТА та гель, колір кришки: Білий, стерильна; Пробірка транспортна, стерильна, середовище AMIES, з аплікатором, з полем для нотаток; Пробірка транспортна, стерильна, без середовища, з аплікатором, з полем для нотаток</t>
  </si>
  <si>
    <t>Пробірки типу Eppendorf; Пробірки лабораторні (не вакуумні); Пробірки для забору капілярної крові; Пробірки лабораторні (не вакуумні); Пробірки вакуумні; Пробірки лабораторні (не вакуумні); Пробірки вакуумні; Пробірки вакуумні</t>
  </si>
  <si>
    <t>Проведення дезинфекції, дератизації, дезінсекції</t>
  </si>
  <si>
    <t>Проведення дозиметричного контролю</t>
  </si>
  <si>
    <t>Проведення навчання та перевірки знань</t>
  </si>
  <si>
    <t>Проведення навчання та перевірки знань працівників з Правил охорони праці під час експлуатації обладнання</t>
  </si>
  <si>
    <t>Проведення навчання та перевірки знань працівників з Правил охорони праці під час експлуатації обладнання, що працює під тиском</t>
  </si>
  <si>
    <t xml:space="preserve">Проведення навчання та перевірки знань працівників з Правил технічної експлуатації теплових установок і мереж </t>
  </si>
  <si>
    <t>Проведення навчання та перевірки знань працівників з електробезпеки</t>
  </si>
  <si>
    <t>Проведення профілактичного обслуговування комп’ютерного томографу</t>
  </si>
  <si>
    <t>Програмна продукція</t>
  </si>
  <si>
    <t>Продукт спеціального дієтичного споживання для ентерального харчування</t>
  </si>
  <si>
    <t>Продукти дитячого харчування</t>
  </si>
  <si>
    <t>Продукти харчування та сушені продукти різні</t>
  </si>
  <si>
    <t>Продукція для чищення</t>
  </si>
  <si>
    <t>Продукція для чищення та полірування</t>
  </si>
  <si>
    <t>Продукція, пов’язана з конструкційними матеріалами</t>
  </si>
  <si>
    <t>Прокальцитонін РСТ, кількісний імуноферментний набір  ; Набір для визначення гемоглобіну; Набір для визначення СРБ, латекс – тест; Набір RPR-carbon-тест 500виз.; Азур – еозин по – Романовскому; Еозин метиленовий синій по Май- Грюнвальду; Ацетонтест (ацетон сечі); Глюкотест (Смужки № 100); Набір для визначення РФМК (флаконний); Набір для визначення глюкози</t>
  </si>
  <si>
    <t>Прокат вантажних транспортних засобів із водієм для перевезення товарів</t>
  </si>
  <si>
    <t>Прокат обладнання з оператором для виконання земляних робіт</t>
  </si>
  <si>
    <t>Прокладання каналізаційних трубопроводів</t>
  </si>
  <si>
    <t>Промислові гази</t>
  </si>
  <si>
    <t>Простирадло</t>
  </si>
  <si>
    <t>Протез кульшового суглоба (Тотальний ендопротез кульшового суглоба безцементного типу фіксації з парою тертя кераміка – поліетилен); Протез кульшового суглоба (Тотальний ендопротез кульшового суглоба безцементної фіксації з парою тертя метал-поліетилен; Протез кульшового суглоба (Тотальні біполярні ендопротези кульшового суглобу цементної фіксації); Тотальний реверсивний ендопротез плечового суглобу безцементної фіксації; Тотальний реверсивний ендопротез плечового суглобу цементної фіксації; Тотальний ендопротез кульшового суглоба цементної фіксації з парою тертя метал-поліетилен; Тотальний ендопротез кульшового суглоба цементної фіксації з парою тертя кераміка-поліетилен</t>
  </si>
  <si>
    <t>Протигаз фільтрувальний «Патріот» ГП-9 з фільтром ФГМ С А2В2Е2К2Р3 RD та сумкою або еквівалент</t>
  </si>
  <si>
    <t>Протипожежне, рятувальне та захисне обладнання</t>
  </si>
  <si>
    <t>Підвищення кваліфікації з питань пожежної безпеки</t>
  </si>
  <si>
    <t>Підвищення кваліфікації за фахом "Бактеріологія"</t>
  </si>
  <si>
    <t>Підвищення кваліфікації за фахом "Ведення військового обліку"</t>
  </si>
  <si>
    <t>Підвищення кваліфікації за фахом "Гінекологія"</t>
  </si>
  <si>
    <t>Підвищення кваліфікації за фахом "Клінічна діагностика"</t>
  </si>
  <si>
    <t>Підвищення кваліфікації за фахом "Лікувально-діагностичні процедури"</t>
  </si>
  <si>
    <t>Підвищення кваліфікації за фахом "Організація і управління охороною здоров'я"</t>
  </si>
  <si>
    <t>Підвищення кваліфікації за фахом "Педіатрія"</t>
  </si>
  <si>
    <t>Підвищення кваліфікації за фахом "Сестринська справа"</t>
  </si>
  <si>
    <t>Підвищення кваліфікації за фахом "Трансфузіологія"</t>
  </si>
  <si>
    <t>Підвищення кваліфікації за фахом "функціональна діагностика"</t>
  </si>
  <si>
    <t>Підвищення кваліфікації молодших спеціалістів з медичною освітою</t>
  </si>
  <si>
    <t>Підвищення кваліфікації молодших спеціалістів з медичною освітою за профілем роботи "Акушерство"</t>
  </si>
  <si>
    <t>Підвищення кваліфікації молодших спеціалістів з медичною освітою за профілем роботи "Акушерська справа"</t>
  </si>
  <si>
    <t>Підвищення кваліфікації молодших спеціалістів з медичною освітою за профілем роботи "Лікувально-діагностичні процедури"</t>
  </si>
  <si>
    <t>Підвищення кваліфікації молодших спеціалістів з медичною освітою за фахом "Хірургія"</t>
  </si>
  <si>
    <t>Підвищення кваліфікації працівників</t>
  </si>
  <si>
    <t>Підвищення кваліфікації працівників з загальних питань охорони праці</t>
  </si>
  <si>
    <t>Підвищення кваліфікації цільового призначення з питань цивільного захисту</t>
  </si>
  <si>
    <t>Підгузки для дорослих, Універсальні, Одноразові, Охоплення талії: 120(±5см)-170(±5см) см; Пелюшка одноразова, розмір: 75 x  90 см, гіпоалергенна, з абсорбуючим матеріалом, без адгезивного краю, Целюлоза, нестерильна; Пелюшка одноразова, розмір: 60 x  90 см, гіпоалергенна, з абсорбуючим матеріалом, з адгезивним краєм, Целюлоза, стерильна, поглинаюча здатність від:800, мл.; Пелюшка одноразова, розмір: 60 x  90 см, гіпоалергенна, з абсорбуючим матеріалом, без адгезивного краю, Целюлоза, нестерильна; Пелюшка одноразова, розмір: 75 x  90 см, гіпоалергенна, з абсорбуючим матеріалом, з адгезивним краєм, Неткане волокно, стерильна</t>
  </si>
  <si>
    <t>Піддони</t>
  </si>
  <si>
    <t>Підставка; Стілець СТ-12; Стілець Ст-9; Столик СП-2; Столик СМ-2; Шафа Шмс-5</t>
  </si>
  <si>
    <t>Р/694/4к</t>
  </si>
  <si>
    <t>Р/696/4</t>
  </si>
  <si>
    <t>Р/720/4</t>
  </si>
  <si>
    <t>Р/769/4</t>
  </si>
  <si>
    <t>Р/785/4</t>
  </si>
  <si>
    <t>Р/837/4</t>
  </si>
  <si>
    <t>Р/854/4</t>
  </si>
  <si>
    <t>РОЗЧИН РІНГЕРА розчин для інфузій по 400 мл у пляшках; НАТРІЮ ХЛОРИД розчин для інфузій 9 мг/мл по 100 мл у контейнерах полімерних ( у вигляді флакона); НАТРІЮ ХЛОРИД розчин для інфузій 9 мг/мл по 200 мл у пляшках скляних; НАТРІЮ ХЛОРИД розчин для інфузій 9 мг/мл по 400 мл у контейнерах полімерних ( у вигляді флакона); ГЛЮКОЗА, розчин для інфузій, 100 мг/мл по 200 мл у пляшках скляних; АНАЛЬГІН розчин для ін'єкцій 500 мг/мл по 2 мл в ампулі; по 5 ампул у контурній чарунковій упаковці ; по 2 контурні чарункові упаковки в пачці;  МАГНІЮ СУЛЬФАТ  розчин для ін'єкцій 250 мг/мл по 5 мл в ампулі; по 5 ампул в контурній чарунковій упаковці; по 2 контурні чарункові упаковки в пачці з картону; МАКСІЦИН  концетрат для розчину для інфузій 400 мг/20 мл по 20 мл у флаконі; по 1 флакону у пачці з картону</t>
  </si>
  <si>
    <t>Реагент LYD-1 Lyse, 200 мл; Реагент LYD-2 Lyse, 500мл; Реагент DIL-C Diluent, 20л; Реагент CLE-P Cleanser, 50 мл</t>
  </si>
  <si>
    <t>Реагент «M-52DIFF Lyse» 500мл; Реагент «M-52LH Lyse» 100мл; 105-000816-00 Лужна фосфатаза (4*35 мл + 2*18 мл); 105-000848-00 Сечова кислота (4*40 мл + 2*20 мл); 105-000847-00 Альфа-Амілаза (1*38 мл + 1*10 мл); 105-004614-00 Креатинін  (2*27 мл + 1*18 мл); 105-000824-00 Сечовина (4*35 мл + 2*18 мл); 105-000850-00 Білірубін загальний (4*20 мл + 1*20 мл)</t>
  </si>
  <si>
    <t>Резинка</t>
  </si>
  <si>
    <t>Ремонт автомобіля з заміною запасних частин</t>
  </si>
  <si>
    <t>Ремонт добового монітору артеріального тиску</t>
  </si>
  <si>
    <t>Ремонт меблів в пологовому відділенні</t>
  </si>
  <si>
    <t>Ремонт та технічне обслуговування персональних комп’ютерів; Технічне обслуговування серверів, локальної мережі та мережевого обладнання; Технічне обслуговування серверів</t>
  </si>
  <si>
    <t>Рентгенплівка</t>
  </si>
  <si>
    <t>Рентгенівська плівка</t>
  </si>
  <si>
    <t>Реєстратор температури</t>
  </si>
  <si>
    <t>Ривароксабан</t>
  </si>
  <si>
    <t>Роботи встановлення накриття для генераторів</t>
  </si>
  <si>
    <t>Роботи з монтажу/демонтажу електропроводки</t>
  </si>
  <si>
    <t>Розчин хлоргексидину фл. 0,02% - 400 мл ст.; Фарба для вимірювання очного тиску; Розчин перекису водню фл. 3% - 100 мл; Вода очищена 400 мл; Розчин перекису водню 6% - 400 мл; Розчин калію хлорид 7,5% - 200,0ст; Розчин натрію хлорид 10% - 400,0 мл ст.; Масло вазелінове 10,0 стер; Розчин метиленовий синій 1% - 200мл; Розчин калію хлорид 4% - 100 мл; Розчин формаліну 40% - 400,0 мл; Бриліантовий зелений 1 %,20,0 мл; Розчин йоду 5% 20,0 ; Розчин Люголя 1 % 100 мл; Розчин цитрат натрію 5 % 100 мл; Стрептоцид порошок 100 грм; Розчин натрію хлориду 3% 400 мл; Натрію хлориду 10% 200 мл; Натрію хлориду 10% 100 мл</t>
  </si>
  <si>
    <t>Рулон для стерилізації, 20000 х 10 см, Медичний папір; Рулон для стерилізації, 20000 х 15 см, Медичний папір; Рулон для стерилізації, 20000 х 20 см, Медичний папір; Рулон для стерилізації, 20000 х 25 см, Медичний папір; Лампи бактерицидні: потужність лампи: 30 Вт, довжина лампи: 900-1000 мм, діаметр лампи: 25-30 мм, тип лампи: безозонова, тип цоколю: G13; Лампи бактерицидні: потужність лампи: 15 Вт, довжина лампи: 300-500 мм, діаметр лампи: 23-28 мм, тип лампи: безозонова, тип цоколю: G13; Система ПК (трансфузійна), регулятор швидкості потоку, металева з’єднувальна голка, конектор Luer Slip, ін'єкційна голка 18G, довжина від 1500 до 1600; Система ПР (інфузійна), без  додаткового ін'єкційного порту , ін'єкційна голка 21G,  ін'єкційна голка металічна, довжина від 1600, потокова трубока -1, з фільтром; Система ПР (інфузійна), регулятор швидкості потоку, металева з’єднувальна голка, конектор Luer Slip, ін'єкційна голка 26G</t>
  </si>
  <si>
    <t>Різні запасні частини</t>
  </si>
  <si>
    <t>СІРОШ ОЛЬГА МИХАЙЛІВНА</t>
  </si>
  <si>
    <t>САВЧЕНКО ІГОР ОЛЕГОВИЧ</t>
  </si>
  <si>
    <t>САУЛІН ІГОР ВІКТОРОВИЧ</t>
  </si>
  <si>
    <t>САУСЯ СВІТЛАНА МИХАЙЛІВНА</t>
  </si>
  <si>
    <t>СЕМЕНЮТА АЛЯ ГЕОРГІЇВНА</t>
  </si>
  <si>
    <t>СЕРЕЖЕНКО ОЛЬГА ОЛЕКСІЇВНА</t>
  </si>
  <si>
    <t>СИВКОВ ВОЛОДИМИР КИРИЛОВИЧ</t>
  </si>
  <si>
    <t>СПОЖИВЧЕ ТОВАРИСТВО "ІНФОТЕХ"</t>
  </si>
  <si>
    <t>СТОРОЖЕНКО ВІКТОРІЯ ВІТАЛІЇВНА</t>
  </si>
  <si>
    <t>Світильники та освітлювальна арматура</t>
  </si>
  <si>
    <t>Сервер</t>
  </si>
  <si>
    <t>Серверна інфраструктура та віртуалізація; Системи зберігання даних та резервне копіювання; Active Directory та служби ідентифікації; Мережі та мережеве обладнання; Робочі станції та оргтехніка; Медичні інформаційні системи (PACS / МІС); Безперервність роботи та ДБЖ</t>
  </si>
  <si>
    <t>Серветки віскозні</t>
  </si>
  <si>
    <t>Серветки спиртові</t>
  </si>
  <si>
    <t>Сидіння, стільці та супутні вироби і частини до них</t>
  </si>
  <si>
    <t>Система ПР (інфузійна), без  додаткового ін'єкційного порту , ін'єкційна голка 21G,  ін'єкційна голка металічна, довжина від 1600, потокова трубока -1, з фільтром; Система ПК (трансфузійна), регулятор швидкості потоку, металева з’єднувальна голка, конектор Luer Slip, ін'єкційна голка 21G; Система ПР (інфузійна), регулятор швидкості потоку, пластикова (полімерна) з’єднувальна голка, конектор Luer Loсk, без ін'єкційної голки; Подовжувач для інфузійних насосів, стерильний, тип конектора: Luer Lock, довжина трубки: 150 см., тиск: низький; Шприц катетерного типу, 3-х компонентний, Об'єм : 100 мл, Одноразовий, без голки, Сертифікат на відповідність ДСТУ EN ISO; Шприц ін'єкційний, 3-х компонентний, Об'єм : 10 мл, Одноразовий, з голкою в комплекті, без додаткової голки, Сертифікат на відповідність ДСТУ EN ISO; Шприци: ін’єкційний об’ємом 20 мл, 3-х компонентний, стерильний, одноразовий, з голкою 21G в комплекті, з кріпленням Luer Slip; Шприц ін'єкційний, 3-х компонентний, Об'єм : 5 мл, Одноразовий, з голкою в комплекті, без додаткової голки, Сертифікат на відповідність ДСТУ EN ISO; Шприц ін'єкційний, 3-х компонентний, Об'єм : 2 мл, Одноразовий, з голкою в комплекті, без додаткової голки, Сертифікат на відповідність ДСТУ EN ISO; Голки для встановлення катетера підключичного, 15 G, довжина 125 мм; Голка для спінальної анестезії, стерильна, тип вістря голки Квінке, розмір 20G, довжина голки 88 мм, діаметр голки 0,9 мм, розмір голки провідника 20G, тип з`єднання Luer Lock; Голка для спінальної анестезії, стерильна, тип вістря голки Квінке, розмір 22G, довжина голки 88 мм, діаметр голки 0,7 мм, без провідникової голки, тип з`єднання Luer Lock; Голка для спінальної анестезії, стерильна, тип вістря голки Квінке, розмір 23G, довжина голки 88 мм, діаметр голки 0,6 мм, без провідникової голки, тип з`єднання Luer Lock; Голка для спінальної анестезії, стерильна, тип вістря голки Олівець, розмір 27G, довжина голки 110 мм, діаметр голки 0,4 мм, без провідникової голки, тип з`єднання Luer Lock; Голка для спінальної анестезії, стерильна, тип вістря голки Олівець, розмір 25G, довжина голки 88 мм, діаметр голки 0,5 мм, без провідникової голки, тип з`єднання Luer Lock; Голка для спінальної анестезії, стерильна, тип вістря голки Олівець, розмір 22G, довжина голки 88 мм, діаметр голки 0,7 мм, без провідникової голки, тип з`єднання Luer Lock</t>
  </si>
  <si>
    <t>Системи відеоспостереження</t>
  </si>
  <si>
    <t>Системи реєстрації медичної інформації</t>
  </si>
  <si>
    <t>Системний розчин  Senso Star GL Hsix (300 мл); Капсули для зразків SensoStar GLHsix 10/500 Hb 10*100 капсул ; Ca2+ електрод Convergys ISE ; pH електрод Convergys ISE 12; Розчин для заповнення електродів Convergys ISE 10 мл; Референтний електрод Convergys ISE; Діагностичний моноклональний реагент анти-А для визначення групи крові людини за системою АВ0(10мл); Діагностичний моноклональний реагент анти-В для визначення групи крові людини за системою АВ0(10мл); Діагностичний моноклональний реагент анти-D для визначення групи крові людини за системою Rhesus(10мл); Набір №1 Стандартні еритроцити для визначення груп крові людини за системами AB0, Rhesus  4*5; Набір АЧТЧ 5х5 мл (500 тестів); Набір Протромбіновий час 10х5мл (500 тестів); Набір Фібріноген 5х5мл (500 тестів); Кульки до коагулометра SC40 Steellex 300шт\фл; Сухий поживний агар; Сухий поживний бульйон; Сольовий агар з манітом; Середовище Мюллера Хінтона; Агар Сабуро з хлорамфекіколом; Шоколадний агар CHOCOLATE AGAR; Хромогенний агар СНOMAGAR strept B; Хромогенне середовище для виділення і ідентифікації потагенів сечових шляхів CHOM orientation; Етерокок агар; Поживний напіврідкий агар; Селенітовий бульон; Триптофановий бульон (Середовище 15); Глюкозо-фосфатний бульйон (Кларка); Поживний бульйон з глюкозою; Нітратний бульйон (Середовище №7); Уреазний агар Крістенсена</t>
  </si>
  <si>
    <t>Скло лабораторне; Скло лабораторне, Покривне, Не шліфоване, розмір: 24x24 мм, Товщина: 0,17 мм, без поля для запису, Без покриття; Скло лабораторне; Чашки культуральні (Петрі)</t>
  </si>
  <si>
    <t>Скло покривне 18x18 мм CG 7201, уп.100 шт; Скло покривне 24 х 24 мм CG 7201, уп.100 шт.; Пробка до пробірок 12-13 мм, ПЕ, червоні (100 шт/уп); Наконечник до піпет-дозатора  200 мкл жовтий Гілсон «Labexpert», уп.1000 шт.; Штатив для капілярів Панченкова (до СОЕ-метру); Пробка гумова до ШОЕ метру; Мікропіпетка до ШОЕ-метру (капіляр Панченкова); Штатив для мікропробірок центрифужних подвійний 0,5/1,5-2,0 мл (96 місць) «Labexpert»; Пробірка біологічна Labexpert, П-2-10х90, Відаля; Штатив-карусель для 6 мікропіпеток, Kartell (1348); Йорж діаметр 17 мм; Накінечник для піпеток, V= 2000-10000мкл,BIOHIT, (100 шт/уп), (10005), (Aptaca S.p.A,), Італія, уп.100 шт.; Штатив для наконечників 1000 мкл (60 місць) Гілсон «Labexpert»; Штатив для пробірок 10 гнізд (поліетиленовий); Штатив для пробірок п/е 20 гнізд; Штатив для пробірок п/е 40 гнізд; Чашка Петрі (Чехія) d=100мм (2290/I/100x15) б/логотипу; Інокуляційні петлі, стерильні, 1ul (мкл), нейтрального кольору,стерильні, в індивідуальній упаковці (6001/SG/CS); Мікропробірка Еппендорф 2 мл з градуюванням Labexpert (для ПЛР) (500 шт/уп), уп.500 шт.; Сваб (транспортна пробірка) з середовищем Аміес та вуглем, аплік. ПП, 12*150мм (Aptaca S.p.A) (303/SG); Пастеровські піпетки 3ml (мл) з ПЕ, довжина 150 mm (мм),градуювання, стерильні, в індивідуальній упаковці (1502/SG/CS)</t>
  </si>
  <si>
    <t>Скляний посуд лабораторного, санітарно-гігієнічного чи фармацевтичного призначення</t>
  </si>
  <si>
    <t>Собокар Даніїл Ігорович</t>
  </si>
  <si>
    <t>Солопова Юлія Михайлівна</t>
  </si>
  <si>
    <t>Спеціальний робочий одяг</t>
  </si>
  <si>
    <t>Спеціальні тканини</t>
  </si>
  <si>
    <t>Спеціалізована постова охорона приміщення</t>
  </si>
  <si>
    <t>Спеціалізована хімічна продукція</t>
  </si>
  <si>
    <t>Список державних закупівель</t>
  </si>
  <si>
    <t>Стандартне хаочування</t>
  </si>
  <si>
    <t>Стандартне харчування</t>
  </si>
  <si>
    <t xml:space="preserve">Стандартне харчування </t>
  </si>
  <si>
    <t>Стандартне харчування; Підсилене харчування</t>
  </si>
  <si>
    <t xml:space="preserve">Стандартне харчування; Підсилене харчування </t>
  </si>
  <si>
    <t>Станок для гоління</t>
  </si>
  <si>
    <t>Стелаж</t>
  </si>
  <si>
    <t>Стерильний бікарбонатний розчин для гемодіалізу з калієм, сумісний з апаратом Diapact CRRT B.Braun, або еквівалент; Набір для гемофільтрації / гемодіалізу, сумісний з апаратом Діапакт  СРРТ  Б.Браун; Високопоточний діалізатор капілярний з синтетичною мембраною площею 1,5- 1,6 м²; Центральний венозний двопросвітний катетер</t>
  </si>
  <si>
    <t>Столи, серванти, письмові столи та книжкові шафи</t>
  </si>
  <si>
    <t>Столове приладдя різне</t>
  </si>
  <si>
    <t>Стоматологічні та вузькоспеціалізовані інструменти та прилади</t>
  </si>
  <si>
    <t>Страхування життя, здоров'я та працездатності водіїв</t>
  </si>
  <si>
    <t>Страхування транспортних засобів</t>
  </si>
  <si>
    <t>Страхування цивільно-правової відповідальності власника наземних транспортних засобів</t>
  </si>
  <si>
    <t>Стрижень для інтрамедулярного остеосинтезу великогомілкової кістки - 1 шт. (універсальний,  Ø мін. ≤ 8 мм, Ø макс. ≥ 11мм; L мін. ≤ 285 мм, L макс. ≥ 375 мм), гвинт - 4 шт. (L мін. ≤ 35 мм, L макс. ≥ 70 мм), заглушка (або компресійний гвинт) - 1 шт.; Стрижень стегновий ретроградний (або аналог) - 1 шт. (універсальний, Ø мін. ≤ 10 мм, Ø макс. ≥ 12 мм; L мін. ≤ 200 мм, L макс. ≥ 240 мм), гвинт - 4 шт. (L мін. ≤ 40 мм, L макс. ≥ 80 мм), заглушка (або компресійний гвинт) - 1 шт., гвинт-стяжка - 1 шт.; Стрижень антиротаційний для проксимального відділу стегнової кістки - 1 шт. (правий,  Ø мін. ≤ 10 мм, Ø макс. ≥ 12 мм; L мін. ≤  240 мм), гвинт - 2 шт. (L мін. ≤ 40 мм, L макс. ≥ 80 мм), заглушка - 1 шт., лезо для ПФНА /фіксуючий гвинт; Стрижень антиротаційний для проксимального відділу стегнової кістки - 1 шт. (лівий,  Ø мін. ≤ 10 мм, Ø макс. ≥ 12 мм; L мін. ≤  240 мм), гвинт - 2 шт. (L мін. ≤ 40 мм, L макс. ≥ 80 мм), заглушка - 1 шт., лезо для ПФНА /фіксуючий гвинт; Стрижень гомілково-ступеневого суглобу - 1 шт. (правий,  Ø мін. ≤ 10 мм, Ø макс. ≥ 12 мм; L макс. ≥ 200 мм), гвинт - 2 шт. (L мін. ≤ 40 мм, L макс. ≥ 100 мм), заглушка - 1 шт., спіральне лезо - 1 шт., заглушка для спірального леза - 1 шт.</t>
  </si>
  <si>
    <t>Стрічки</t>
  </si>
  <si>
    <t>Стіл 600*1200*750</t>
  </si>
  <si>
    <t>Стільці офісні</t>
  </si>
  <si>
    <t>Сума укладеного договору</t>
  </si>
  <si>
    <t>Сумка для транспортування</t>
  </si>
  <si>
    <t xml:space="preserve">Сумка для транспортування </t>
  </si>
  <si>
    <t>Сухий поживний агар; Сухий поживний бульон; Сольовий агар з манітом; Середовище для визначення чутливості агар Мюллера-Хінтона ; Агар сабуро з хлорамфекіколом; Шоколадний агар CHOCOLATE AGAR; Хромогенне середовище для виявлення і диференціації Streptococcus B (S. agalactiae) / CHROMagar StrepB / (5L); Хромогенне середовище для виділення і диференціації патогенів сечових шляхів / CHROMagar Orientation / (5L); Ентерокок агар; Поживний напіврідкий агар; Селенітовий бульон; Триптофановий бульон (Середовище 15); Глюкозо-фосфатний бульйон (Кларка); Поживний бульйон з глюкозою; Нітратний бульйон (Середовище №7); Уреазний агар Крістенсена; Бульйнон Сабуро; Розчин сечовини 40%, 50 мл; Розчин метиленового синього, 50 мл; Розчин трифенілтетразолію хлориду 1% 5фл. (5мл); Плазма кроляча цитратна суха  уп  ( 10 амп); Реактив Ковача, 50мл; Розчин для теста Фогес-Проскауер, 15мл; Імерсійна рідина для мікроскопії, 100 мл ; Набір реагентів "Забарвлення за Грамом"; Диски з азтреонамом  30 мкг, №100; Диски з амікацином 30 мкг, №100; Диски з амоксиклавом20/10 мкг, №100; Диски з ампіциліном 2мкг, №100; Диски з ампіциліном 10 мкг, №100; Диски з бацитрацином S для ідентифікації Streptoccocus, №100; Диски з ванкоміцином 30 мкг, №100; Диски з ванкоміцином 5мкг, №100; Диски з гентаміцином 10 мкг, №100; Диски з гентаміцином 30 мкг, №100; Диски з еритроміцином 15 мкг, №100; Диски з жовчю 3 мкг, №100; Диски з іміпенемом /целастин10/10 мкг, №100; Диски з левофлоксацином 5 мкг, №100; Диски з лінезолідом  10 мкг, №100; Диски з меропенемом 10 мкг, №100; Диски з нітрофурантоїном 100мкг, №100; Диски з оксациліном  1 мкг, №100; Диски з оптохіном  для ідентифікації стрептококів пневмонія, №100; Диски з Цефтазидим+Клавуланова кислота CAL (40 мкг), №50; Диски з Цефотаксим+Клавуланова кислота CTL (40 мкг), №100; Диски з фосфоміцином 200 мкг, №100; Диски з пеніциліном 1 ОД, №100; Диски з кліндаміцином 2 мкг; Диски з цефокситином 30 мкг, №100; Диски з цефтазидимом 10 мкг, №100; Диски з цефтріаксоном 30 мкг, №100; Диски з ципрофлоксацином 5 мкг; Диски з хлорамфеніколом, №100; Диски з піперациліном/тазобактамом 16 мкг, №100; Диски з тайгецикліном 15 мкг, № 100; Диски з пефлоксацином 5 мкг, № 100; Диски з цефепімом, № 100; ГІПУРАТ-тест; Реактив для теста Гіпурат; ПІРА-тест; Реактив для теста ПІР; ОКСІ-тест №50; Реактив для теста Нітрати; Реактив для теста Фенілаланін; Набір реактивів Азофенол; Референтний штам Escherichia coli ATCC® 25922 / NCTC® 12241 / DSM® 1106; Референтний штам Staphylococcus aureus ATCC® 29213 / NCTC® 12973; Референтний штам Pseudomonas aeruginosa ATCC® 27853 / NCTC® 12903 / DSM® 1117; Референтний штам Streptococcus pneumoniae  ATCC® 49619 / NCTC® 12977; Референтний штам Candida parapsilosis ATCC® 22019; Референтний штам Enterococcus faecalis ATCC® 29212 / NCTC® 12697 / DSM® 2570; Емульсія яєчного жовтка</t>
  </si>
  <si>
    <t>Сітка</t>
  </si>
  <si>
    <t>Сітка хірургічна: Поліпропілен, Монофіламентна, 0,1 мм, Розм. чар.: 1,5x1,3 мм, 47г/м², незабарвлена, розмір:15 x 15 см, Прямокутна, Без отвору, Плоска, Одношарова, не розсмоктується, без покриття, не для ІП розм., не самофіксується; Сітка хірургічна: Поліпропілен, Монофіламентна, 0,12 мм, Розм. чар.: 1,3x1 мм, 63г/м², незабарвлена, розмір:30 x 15 см, Прямокутна, Без отвору, Плоска, Одношарова, не розсмоктується, без покриття, не для ІП розм., не самофіксується; Сітка хірургічна: Поліпропілен, Монофіламентна, 0,1 мм, Розм. чар.: 1,5x1,3 мм, 47г/м², незабарвлена, розмір:30 x 30 см, Прямокутна, Без отвору, Плоска, Одношарова, не розсмоктується, без покриття, не для ІП розм., не самофіксується; Сітка хірургічна: Поліпропілен, Монофіламентна, 0,1 мм, Розм. чар.: 1,3x1 мм, 47г/м², незабарвлена, розмір:30 x 30 см, Квадратна, Без отвору, Плоска, Одношарова, не розсмоктується, без покриття, не для ІП розм., не самофіксується; Сітка хірургічна</t>
  </si>
  <si>
    <t>ТАНЄЄВА-РОМАНЧЕНКО ОЛЬГА ЕДУАРДІВНА</t>
  </si>
  <si>
    <t>ТАРАН ОКСАНА АНДРІЇВНА</t>
  </si>
  <si>
    <t>ТВЄРДОХЛЄБ ОЛЕНА ВАЛЕРІЇВНА</t>
  </si>
  <si>
    <t>ТКАЧЕНКО МИКОЛА ГРИГОРОВИЧ</t>
  </si>
  <si>
    <t>ТОВ "АДВАНСЕД МЕДТЕХНОЛОДЖИ"</t>
  </si>
  <si>
    <t>ТОВ "АМІКУМ ПЛЮС"</t>
  </si>
  <si>
    <t>ТОВ "АМПУЛА ОПТПОСТАЧ"</t>
  </si>
  <si>
    <t>ТОВ "АНТАРЕС-3000"</t>
  </si>
  <si>
    <t>ТОВ "БВС РИТЕЙЛ"</t>
  </si>
  <si>
    <t>ТОВ "БЕЛІТРЕЙД"</t>
  </si>
  <si>
    <t>ТОВ "Білар"</t>
  </si>
  <si>
    <t>ТОВ "ВОК - Медіка Груп"</t>
  </si>
  <si>
    <t>ТОВ "Восток-Фарм"</t>
  </si>
  <si>
    <t>ТОВ "ГЕОІД"</t>
  </si>
  <si>
    <t>ТОВ "Медичний лікувально-діагностичний центр "МЕДІОН"</t>
  </si>
  <si>
    <t>ТОВ "Медінтекс"</t>
  </si>
  <si>
    <t>ТОВ "ОЛІМП МЕДІКАЛ"</t>
  </si>
  <si>
    <t>ТОВ "ОЛЕСТАС ЕКО"</t>
  </si>
  <si>
    <t>ТОВ "ПВКП ВАЛЛЕНТА"</t>
  </si>
  <si>
    <t>ТОВ "ПОЛТАВА ХІМ"</t>
  </si>
  <si>
    <t>ТОВ "СОНАМІ"</t>
  </si>
  <si>
    <t>ТОВ "СТМ-Фарм"</t>
  </si>
  <si>
    <t>ТОВ "ТВГ УКРАЇНСЬКИЙ ПАПІР"</t>
  </si>
  <si>
    <t>ТОВ "ТЕТАФАРМ"</t>
  </si>
  <si>
    <t>ТОВ "УКРАЇНСЬКА ОРТОПЕДИЧНА ГРУПА"</t>
  </si>
  <si>
    <t>ТОВ «Фірма «Технокомплекс»</t>
  </si>
  <si>
    <t>ТОВ МЕДСЕРВІСГРУП</t>
  </si>
  <si>
    <t>ТОВ ТАРКОМ ЕКОСЕРВІС</t>
  </si>
  <si>
    <t>ТОВ Торговельна компанія "ЮЛіС"</t>
  </si>
  <si>
    <t xml:space="preserve">ТОВАРИСТВО З ОБМЕЖЕНОЮ ВІДПОВІДА­ЛЬНІСТЮ СПЕЦІАЛІЗОВАНЕ РЕМОНТНО-БУДІВЕЛЬНЕ УПРАВЛІННЯ «ПОЛТАВАЛІФТ»
</t>
  </si>
  <si>
    <t>ТОВАРИСТВО З ОБМЕЖЕНОЮ ВІДПОВІДАЛЬНІСТЮ "ІМЕСК"</t>
  </si>
  <si>
    <t>ТОВАРИСТВО З ОБМЕЖЕНОЮ ВІДПОВІДАЛЬНІСТЮ "ІННОВАЦІЙНА МЕДИЦИНА"</t>
  </si>
  <si>
    <t>ТОВАРИСТВО З ОБМЕЖЕНОЮ ВІДПОВІДАЛЬНІСТЮ "ІНСТИТУТ МУНІЦИПАЛЬНОГО МЕНЕДЖМЕНТУ"</t>
  </si>
  <si>
    <t>ТОВАРИСТВО З ОБМЕЖЕНОЮ ВІДПОВІДАЛЬНІСТЮ "ІНТЕЛЕКТ-Т"</t>
  </si>
  <si>
    <t>ТОВАРИСТВО З ОБМЕЖЕНОЮ ВІДПОВІДАЛЬНІСТЮ "ІНТЕЛЕКТ-ЦЕНТР-ГРУП"</t>
  </si>
  <si>
    <t>ТОВАРИСТВО З ОБМЕЖЕНОЮ ВІДПОВІДАЛЬНІСТЮ "ІНФОСОФТ СЕРВІС"</t>
  </si>
  <si>
    <t>ТОВАРИСТВО З ОБМЕЖЕНОЮ ВІДПОВІДАЛЬНІСТЮ "ЇЖАК ПРОДАКШН"</t>
  </si>
  <si>
    <t>ТОВАРИСТВО З ОБМЕЖЕНОЮ ВІДПОВІДАЛЬНІСТЮ "АКТУАЛЬНІ МЕДИЧНІ ПОСТАВКИ 2010"</t>
  </si>
  <si>
    <t>ТОВАРИСТВО З ОБМЕЖЕНОЮ ВІДПОВІДАЛЬНІСТЮ "АМЕТРІН ФК"</t>
  </si>
  <si>
    <t>ТОВАРИСТВО З ОБМЕЖЕНОЮ ВІДПОВІДАЛЬНІСТЮ "АНТАРЕС-3000"</t>
  </si>
  <si>
    <t>ТОВАРИСТВО З ОБМЕЖЕНОЮ ВІДПОВІДАЛЬНІСТЮ "АТЗТ КОМПАНІЯ "САТУРН ДЕЙТА ІНТЕРНЕШЕНЛ"</t>
  </si>
  <si>
    <t>ТОВАРИСТВО З ОБМЕЖЕНОЮ ВІДПОВІДАЛЬНІСТЮ "БІЛАР"</t>
  </si>
  <si>
    <t>ТОВАРИСТВО З ОБМЕЖЕНОЮ ВІДПОВІДАЛЬНІСТЮ "БІФОРТ"</t>
  </si>
  <si>
    <t>ТОВАРИСТВО З ОБМЕЖЕНОЮ ВІДПОВІДАЛЬНІСТЮ "БЕСТ-КЕЙТЕРІНГ"</t>
  </si>
  <si>
    <t>ТОВАРИСТВО З ОБМЕЖЕНОЮ ВІДПОВІДАЛЬНІСТЮ "БТ-СЕРВІС УКРАЇНА"</t>
  </si>
  <si>
    <t>ТОВАРИСТВО З ОБМЕЖЕНОЮ ВІДПОВІДАЛЬНІСТЮ "ВІОЛА МЕДТЕХНІКА"</t>
  </si>
  <si>
    <t>ТОВАРИСТВО З ОБМЕЖЕНОЮ ВІДПОВІДАЛЬНІСТЮ "ВИДАВНИЧА ГРУПА "ДІЛОВА ПРЕСА"</t>
  </si>
  <si>
    <t>ТОВАРИСТВО З ОБМЕЖЕНОЮ ВІДПОВІДАЛЬНІСТЮ "ГАЛО ТЕХ"</t>
  </si>
  <si>
    <t>ТОВАРИСТВО З ОБМЕЖЕНОЮ ВІДПОВІДАЛЬНІСТЮ "ГЛЮДОР"</t>
  </si>
  <si>
    <t>ТОВАРИСТВО З ОБМЕЖЕНОЮ ВІДПОВІДАЛЬНІСТЮ "ГПА 77"</t>
  </si>
  <si>
    <t>ТОВАРИСТВО З ОБМЕЖЕНОЮ ВІДПОВІДАЛЬНІСТЮ "ГПЛ"</t>
  </si>
  <si>
    <t>ТОВАРИСТВО З ОБМЕЖЕНОЮ ВІДПОВІДАЛЬНІСТЮ "ДІАМАНТ-ФАРМ"</t>
  </si>
  <si>
    <t>ТОВАРИСТВО З ОБМЕЖЕНОЮ ВІДПОВІДАЛЬНІСТЮ "ДІЯ ФАРМ"</t>
  </si>
  <si>
    <t>ТОВАРИСТВО З ОБМЕЖЕНОЮ ВІДПОВІДАЛЬНІСТЮ "ДЖАМП"</t>
  </si>
  <si>
    <t>ТОВАРИСТВО З ОБМЕЖЕНОЮ ВІДПОВІДАЛЬНІСТЮ "ЕНЕРГЕТИЧНА КОМПАНІЯ ЕНЕРГО-ПРОСТІР"</t>
  </si>
  <si>
    <t>ТОВАРИСТВО З ОБМЕЖЕНОЮ ВІДПОВІДАЛЬНІСТЮ "ЕПІЦЕНТР К"</t>
  </si>
  <si>
    <t>ТОВАРИСТВО З ОБМЕЖЕНОЮ ВІДПОВІДАЛЬНІСТЮ "ЗАВОД АВТОГЕННОГО ОБЛАДНАННЯ ДОНМЕТ"</t>
  </si>
  <si>
    <t>ТОВАРИСТВО З ОБМЕЖЕНОЮ ВІДПОВІДАЛЬНІСТЮ "КАДРОВА АКАДЕМІЯ"</t>
  </si>
  <si>
    <t>ТОВАРИСТВО З ОБМЕЖЕНОЮ ВІДПОВІДАЛЬНІСТЮ "КАЙРОС ГРУП УКРАЇНА"</t>
  </si>
  <si>
    <t>ТОВАРИСТВО З ОБМЕЖЕНОЮ ВІДПОВІДАЛЬНІСТЮ "КАРПАТТЕХНОАЛЬЯНС"</t>
  </si>
  <si>
    <t>ТОВАРИСТВО З ОБМЕЖЕНОЮ ВІДПОВІДАЛЬНІСТЮ "КОМПРЕССОРС ІНТЕРНЕШНЛ"</t>
  </si>
  <si>
    <t>ТОВАРИСТВО З ОБМЕЖЕНОЮ ВІДПОВІДАЛЬНІСТЮ "КРЕМЕНЧУЦЬКЕ СПЕЦІАЛІЗОВАНЕ РЕМОНТНО-БУДІВЕЛЬНЕ ТОВАРИСТВО ПРОТИПОЖЕЖНИХ РОБІТ"</t>
  </si>
  <si>
    <t>ТОВАРИСТВО З ОБМЕЖЕНОЮ ВІДПОВІДАЛЬНІСТЮ "ЛІКИ ПОЛТАВЩИНИ"</t>
  </si>
  <si>
    <t>ТОВАРИСТВО З ОБМЕЖЕНОЮ ВІДПОВІДАЛЬНІСТЮ "МІЖНАРОДНА ШКОЛА ТЕХНІЧНОГО ЗАКОНОДАВСТВА ТА УПРАВЛІННЯ ЯКІСТЮ"</t>
  </si>
  <si>
    <t>ТОВАРИСТВО З ОБМЕЖЕНОЮ ВІДПОВІДАЛЬНІСТЮ "МЕГА СЕРВІС УКРАЇНА"</t>
  </si>
  <si>
    <t>ТОВАРИСТВО З ОБМЕЖЕНОЮ ВІДПОВІДАЛЬНІСТЮ "МЕДІНОВА"</t>
  </si>
  <si>
    <t>ТОВАРИСТВО З ОБМЕЖЕНОЮ ВІДПОВІДАЛЬНІСТЮ "МЕДІНФОСЕРВІС"</t>
  </si>
  <si>
    <t>ТОВАРИСТВО З ОБМЕЖЕНОЮ ВІДПОВІДАЛЬНІСТЮ "МЕДИЧНА КОМПАНІЯ "ЕМПІРІКА"</t>
  </si>
  <si>
    <t>ТОВАРИСТВО З ОБМЕЖЕНОЮ ВІДПОВІДАЛЬНІСТЮ "МЕРЕЖА МАГАЗИНІВ "ДНІПРО-М"</t>
  </si>
  <si>
    <t>ТОВАРИСТВО З ОБМЕЖЕНОЮ ВІДПОВІДАЛЬНІСТЮ "МЕТРОЛОГІЧНА ЛАБОРАТОРІЯ "КВАНТ"</t>
  </si>
  <si>
    <t>ТОВАРИСТВО З ОБМЕЖЕНОЮ ВІДПОВІДАЛЬНІСТЮ "НАУКОВО-ВИРОБНИЧЕ ОБ'ЄДНАННЯ "ГЕОПРОТОН"</t>
  </si>
  <si>
    <t>ТОВАРИСТВО З ОБМЕЖЕНОЮ ВІДПОВІДАЛЬНІСТЮ "НАУКОВО-ЕКСПЕРТНИЙ ЦЕНТР "ФОРТ ПЛЮС"</t>
  </si>
  <si>
    <t>ТОВАРИСТВО З ОБМЕЖЕНОЮ ВІДПОВІДАЛЬНІСТЮ "НАЦІОНАЛЬНИЙ ЦЕНТР СТАЛОГО РОЗВИТКУ"</t>
  </si>
  <si>
    <t>ТОВАРИСТВО З ОБМЕЖЕНОЮ ВІДПОВІДАЛЬНІСТЮ "НВП ТЕХ-АС"</t>
  </si>
  <si>
    <t>ТОВАРИСТВО З ОБМЕЖЕНОЮ ВІДПОВІДАЛЬНІСТЮ "НПП МЕАНДР"</t>
  </si>
  <si>
    <t>ТОВАРИСТВО З ОБМЕЖЕНОЮ ВІДПОВІДАЛЬНІСТЮ "ОЛЕСТАС ЕКО"</t>
  </si>
  <si>
    <t>ТОВАРИСТВО З ОБМЕЖЕНОЮ ВІДПОВІДАЛЬНІСТЮ "ОНЛАЙН МЕДІА ГРУП"</t>
  </si>
  <si>
    <t>ТОВАРИСТВО З ОБМЕЖЕНОЮ ВІДПОВІДАЛЬНІСТЮ "ОПТИМАЛ"</t>
  </si>
  <si>
    <t>ТОВАРИСТВО З ОБМЕЖЕНОЮ ВІДПОВІДАЛЬНІСТЮ "ОРІОН-ОДИН"</t>
  </si>
  <si>
    <t>ТОВАРИСТВО З ОБМЕЖЕНОЮ ВІДПОВІДАЛЬНІСТЮ "ОРТУСЛАБ"</t>
  </si>
  <si>
    <t>ТОВАРИСТВО З ОБМЕЖЕНОЮ ВІДПОВІДАЛЬНІСТЮ "ПІНОЛ УКРАЇНА"</t>
  </si>
  <si>
    <t>ТОВАРИСТВО З ОБМЕЖЕНОЮ ВІДПОВІДАЛЬНІСТЮ "ПОЛТАВА ХІМ"</t>
  </si>
  <si>
    <t>ТОВАРИСТВО З ОБМЕЖЕНОЮ ВІДПОВІДАЛЬНІСТЮ "ПОЛТАВСЬКИЙ ЗАВОД ПРОДТОВАРІВ "СВІТАНОК"</t>
  </si>
  <si>
    <t>ТОВАРИСТВО З ОБМЕЖЕНОЮ ВІДПОВІДАЛЬНІСТЮ "ПРОТЕК СОЛЮШНЗ УКРАЇНА"</t>
  </si>
  <si>
    <t>ТОВАРИСТВО З ОБМЕЖЕНОЮ ВІДПОВІДАЛЬНІСТЮ "РЕНСО ГРУП"</t>
  </si>
  <si>
    <t>ТОВАРИСТВО З ОБМЕЖЕНОЮ ВІДПОВІДАЛЬНІСТЮ "РТЕ ЮКРЕЙН"</t>
  </si>
  <si>
    <t>ТОВАРИСТВО З ОБМЕЖЕНОЮ ВІДПОВІДАЛЬНІСТЮ "СІЕТ ХОЛДІНГ"</t>
  </si>
  <si>
    <t>ТОВАРИСТВО З ОБМЕЖЕНОЮ ВІДПОВІДАЛЬНІСТЮ "СІЛЬФ"</t>
  </si>
  <si>
    <t>ТОВАРИСТВО З ОБМЕЖЕНОЮ ВІДПОВІДАЛЬНІСТЮ "СІМЕНС МЕДИЦИНА"</t>
  </si>
  <si>
    <t>ТОВАРИСТВО З ОБМЕЖЕНОЮ ВІДПОВІДАЛЬНІСТЮ "СОНАМІ"</t>
  </si>
  <si>
    <t>ТОВАРИСТВО З ОБМЕЖЕНОЮ ВІДПОВІДАЛЬНІСТЮ "ТАРКОМ ЕКОСЕРВІС"</t>
  </si>
  <si>
    <t>ТОВАРИСТВО З ОБМЕЖЕНОЮ ВІДПОВІДАЛЬНІСТЮ "ТЕЛЕРАДІОКОМПАНІЯ "ІНФОРМАЦІЙНО-РЕКЛАМНЕ ТЕЛЕБАЧЕННЯ -ПОЛТАВА"</t>
  </si>
  <si>
    <t>ТОВАРИСТВО З ОБМЕЖЕНОЮ ВІДПОВІДАЛЬНІСТЮ "ТОРГОВО-ПРОМИСЛОВА КОМПАНІЯ "Н.З. ТЕХНО"</t>
  </si>
  <si>
    <t>ТОВАРИСТВО З ОБМЕЖЕНОЮ ВІДПОВІДАЛЬНІСТЮ "ТОЧНІ СИСТЕМИ LTD"</t>
  </si>
  <si>
    <t>ТОВАРИСТВО З ОБМЕЖЕНОЮ ВІДПОВІДАЛЬНІСТЮ "УКРМЕДЛАБ"</t>
  </si>
  <si>
    <t>ТОВАРИСТВО З ОБМЕЖЕНОЮ ВІДПОВІДАЛЬНІСТЮ "ФІЧА"</t>
  </si>
  <si>
    <t>ТОВАРИСТВО З ОБМЕЖЕНОЮ ВІДПОВІДАЛЬНІСТЮ "ХІМЛАБОРРЕАКТИВ"</t>
  </si>
  <si>
    <t>ТОВАРИСТВО З ОБМЕЖЕНОЮ ВІДПОВІДАЛЬНІСТЮ "ХЛР"</t>
  </si>
  <si>
    <t>ТОВАРИСТВО З ОБМЕЖЕНОЮ ВІДПОВІДАЛЬНІСТЮ "ЦЕНТР СЕРТИФІКАЦІЇ КЛЮЧІВ "УКРАЇНА"</t>
  </si>
  <si>
    <t>ТОВАРИСТВО З ОБМЕЖЕНОЮ ВІДПОВІДАЛЬНІСТЮ "ЮРІЯ-ФАРМ"</t>
  </si>
  <si>
    <t>ТОВАРИСТВО З ОБМЕЖЕНОЮ ВІДПОВІДАЛЬНІСТЮ "ЯВІР-2000"</t>
  </si>
  <si>
    <t>ТОВАРИСТВО З ОБМЕЖЕНОЮ ВІДПОВІДАЛЬНІСТЮ "ЯРМЕД"</t>
  </si>
  <si>
    <t>ТОВАРИСТВО З ОБМЕЖЕНОЮ ВІДПОВІДАЛЬНІСТЮ ''ДК-СИСТЕМИ''</t>
  </si>
  <si>
    <t>ТОВАРИСТВО З ОБМЕЖЕНОЮ ВІДПОВІДАЛЬНІСТЮ «ДК-ПЕЙМЕНТ»</t>
  </si>
  <si>
    <t>ТОВАРИСТВО З ОБМЕЖЕНОЮ ВІДПОВІДАЛЬНІСТЮ «ЕКСПЕРТУС ТЕК»</t>
  </si>
  <si>
    <t>ТОВАРИСТВО З ОБМЕЖЕНОЮ ВІДПОВІДАЛЬНІСТЮ «Лікарно»</t>
  </si>
  <si>
    <t>ТОВАРИСТВО З ОБМЕЖЕНОЮ ВІДПОВІДАЛЬНІСТЮ «МЕДСАМ»</t>
  </si>
  <si>
    <t>ТОВАРИСТВО З ОБМЕЖЕНОЮ ВІДПОВІДАЛЬНІСТЮ «ФАРМІННОВАЦІЇ»</t>
  </si>
  <si>
    <t>ТОВАРИСТВО З ОБМЕЖЕНОЮ ВІДПОВІДАЛЬНІСТЮ «ХЕЛСІ УКРАЇНА»</t>
  </si>
  <si>
    <t>ТОВАРИСТВО З ОБМЕЖЕНОЮ ВІДПОВІДАЛЬНІСТЮ НАУКОВО-ВИРОБНИЧЕ ПІДПРИЄМСТВО "МАДЕК"</t>
  </si>
  <si>
    <t>ТОВАРИСТВО З ОБМЕЖЕНОЮ ВІДПОВІДАЛЬНІСТЮ НВП "DХ-СИСТЕМИ"</t>
  </si>
  <si>
    <t>ТОВАРИСТВО З ОБМЕЖЕНОЮ ВІДПОВІДАЛЬНІСТЮ СПЕЦІАЛІЗОВАНЕ РЕМОНТНО-БУДІВЕЛЬНЕ УПРАВЛІННЯ "ПОЛТАВАЛІФТ"</t>
  </si>
  <si>
    <t>ТРОЩАК БОРИС МИКОЛАЙОВИЧ</t>
  </si>
  <si>
    <t>Табличка композитна</t>
  </si>
  <si>
    <t>Табличка металева</t>
  </si>
  <si>
    <t>Табличка номерок</t>
  </si>
  <si>
    <t>Текстильні вироби</t>
  </si>
  <si>
    <t>Текстильні вироби різні</t>
  </si>
  <si>
    <t>Телевізійне й аудіовізуальне обладнання</t>
  </si>
  <si>
    <t>Телевізійні послуги</t>
  </si>
  <si>
    <t>Телефон</t>
  </si>
  <si>
    <t>Телефонне обладнання</t>
  </si>
  <si>
    <t>Термометри медичні</t>
  </si>
  <si>
    <t>Термосумка багаторазового застосування</t>
  </si>
  <si>
    <t>Теслярські вироби</t>
  </si>
  <si>
    <t>Технічне обслуговування  Автоматичного біохімічного аналізатора Pictus 500; Технічне обслуговування автоматичного гематологічного аналізатора Abacus 3 CT</t>
  </si>
  <si>
    <t>Технічне обслуговування віджимних машин (промислових центрифуг)</t>
  </si>
  <si>
    <t>Технічне обслуговування ліфтів</t>
  </si>
  <si>
    <t>Технічне обслуговування обладнання системи лікувального газопостачання</t>
  </si>
  <si>
    <t>Технічне обслуговування обладння, що працює під тиском</t>
  </si>
  <si>
    <t xml:space="preserve">Технічне обслуговування обладння, що працює під тиском </t>
  </si>
  <si>
    <t>Технічне обслуговування системи рентгенівської діагностичної “CALYPSO F”; Технічне обслуговування системи рентгенівської діагностичної “CALYPSO F MTObs”; Технічне обслуговування системи рентгенівської діагностичної мамографічної “VIOLA D”; Технічне обслуговування системи рентгенівської діагностичної мобільної “МАС”; Технічне обслуговування системи рентгенівської діагностичної С-подібної “Symbol 5R9”</t>
  </si>
  <si>
    <t>Технічне обслуговування і ремонт офісної техніки</t>
  </si>
  <si>
    <t>Технічні послуги</t>
  </si>
  <si>
    <t>Тканина бавовняна</t>
  </si>
  <si>
    <t>Товариство з обмеженою відповідальністю "Індекс"</t>
  </si>
  <si>
    <t>Товариство з обмеженою відповідальністю "АЛТ Україна ЛТД"</t>
  </si>
  <si>
    <t>Товариство з обмеженою відповідальністю "КСЕНКО"</t>
  </si>
  <si>
    <t>Товариство з обмеженою відповідальністю «АЛТ Україна Лтд»</t>
  </si>
  <si>
    <t>Тотальний анатомічний ендопротез плечового суглобу цементної фіксації; Тотальний анатомічний ендопротез плечового суглобу безцементної фіксації ; Тотальний анатомічний ендопротез плечового суглобу із скелетизованою ніжкою ; Тотальний реверсивний ендопротез плечового суглобу цементної фіксації ; Тотальний реверсивний ендопротез плечового суглобу безцементної фіксації ; Тотальний реверсивний ендопротез плечового суглобу із скелетизованою ніжкою</t>
  </si>
  <si>
    <t>Тример бензиновий</t>
  </si>
  <si>
    <t xml:space="preserve">Трубка для іригації до помпи </t>
  </si>
  <si>
    <t>Трубка ендотрахеальна: Стерильна, Кількість використань: Одноразова, Діаметр трубки: 2.50 мм; Трубка ендотрахеальна: Стерильна, Кількість використань: Одноразова, Діаметр трубки: 3.00 мм; Трубка ендотрахеальна: Стерильна, Кількість використань: Одноразова, Діаметр трубки: 3.50 мм; Трубка ендотрахеальна/Трубка інтубаційна: Одноразова, Стерильна, Діаметр трубки: 4.00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5.00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6.00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ендотрахеальна/Трубка інтубаційна: Одноразова, Стерильна, Діаметр трубки: 6.50 міліметр, Оральна інтубація, Наявність манжети, Атравматичний дистальний кінець з боковим отвором по Мерфі, Конектор, Клапан заповнення манжети з пілотним балоном; Трубка ендотрахеальна: Одноразова, Діаметр трубки: 7.50 мм, З манжетою; Трубка ендотрахеальна: Одноразова, Діаметр трубки: 7.00 мм, З манжетою; Абсорбент СО2 для анестезіології, 5 л, каністра, білий-фіолетовий; Набір для епідуральної анестезії:Одноразовий, для дорослих, Атравматичний кінчик,Стандартний, Шприц в комплекті на 10 мл, Кількість бокових отворів: 6 шт, з фільтром, Розмір голки: 18 G, Розмір катетера: 20 G, Тип кінчика катетера:, Стерильниq; Вірусо - бактеріальний фільтр дихальний для дорослих, одноразовий, електростатичний, 22F/15M|22M/15F, Luer Lock, Опір потоку см H₂O :1-1.8, кутовий; Вірусо - бактеріальний фільтр дихальний для дорослих, одноразовий, електростатичний, 22M/15F|15M/22F, Luer Lock, Опір потоку см H₂O :1-1.8, приямий; Повітровод, надглотковий, розмір №4; Повітровод, надглотковий, розмір №5; Повітровод, орофарингеальний, тип Guedel, розмір №4; Повітровод, орофарингеальний, тип Guedel, розмір №5; Повітровід назофарингеальний, одноразовий, стерильний, діаметр внутрішній 6.5 мм, без манжети; Набори для конікотомії: Трахеотомічний гачок, Скальпель хірургічний, Шприц 10 мл, Трахеостомічна трубка з манжетою, розмір : 2.0 мм, Фіксуючі елементи (стрічки, кріплення), Конічна голка, Дилататор або інтродюсер; Контур дихальний для анестезії, для дорослих, одноразовий, не стерильний, трубка гофрована, без резервного мішка, кутовий з'єднувач, Ø під'єднання до пацієнта 22М/15F, без додаткового шлангу</t>
  </si>
  <si>
    <t>Туалетний папір, носові хустинки, рушники для рук і серветки</t>
  </si>
  <si>
    <t>Тупотін Іван Михайлович</t>
  </si>
  <si>
    <t>УДОВІЧЕНКО МАКСИМ ОЛЕКСАНДРОВИЧ</t>
  </si>
  <si>
    <t>УПРАВЛІННЯ ПОЛІЦІЇ ОХОРОНИ В ПОЛТАВСЬКІЙ ОБЛАСТІ</t>
  </si>
  <si>
    <t>Упаковка для стерилізації; Упаковка для стерилізації; Упаковка для стерилізації; Упаковка для стерилізації</t>
  </si>
  <si>
    <t>Управління побутовими (змішаними(твердими побутовими), великогабаритними відходами</t>
  </si>
  <si>
    <t>Управління побутовими (змішаними(твердими) побутовими), великогабаритними відходами</t>
  </si>
  <si>
    <t>ФІЗИЧНА ОСОБА-ПІДПРИЄМЕЦЬ СЕМЕНЮТА АЛЯ ГЕОРГІЇВНА</t>
  </si>
  <si>
    <t>ФІРМА "АГРОТЕХНАЛАДКА, ЛТД" У ФОРМІ ТОВАРИСТВА З ОБМЕЖЕНОЮ ВІДПОВІДАЛЬНІСТЮ</t>
  </si>
  <si>
    <t>ФЕДОРЕНКО МИКОЛА МИКОЛАЙОВИЧ</t>
  </si>
  <si>
    <t>ФОП "Беркетов Ігор Олександрович"</t>
  </si>
  <si>
    <t>ФОП "Бєлов Костянтин Львович"</t>
  </si>
  <si>
    <t>ФОП "Власенко Олена Борисівна"</t>
  </si>
  <si>
    <t>ФОП "Горобець Тамара Станіславівна"</t>
  </si>
  <si>
    <t>ФОП "КОНДРАТЬЄВ ЮЛІЙ СЕРГІЙОВИЧ"</t>
  </si>
  <si>
    <t>ФОП "ОНІЩЕНКО ГАННА ПИЛИПІВНА"</t>
  </si>
  <si>
    <t>ФОП "Остапенко Антон Максимович"</t>
  </si>
  <si>
    <t>ФОП "ПЕТЛЕНКО ВАЛЕРІЙ ІВАНОВИЧ"</t>
  </si>
  <si>
    <t>ФОП "ЦВІРОВ ІВАН МИКОЛАЙОВИЧ"</t>
  </si>
  <si>
    <t>ФОП "ЦВІРОВА ОЛЕНА СТАНІСЛАВІВНА"</t>
  </si>
  <si>
    <t>ФОП "ЧЕБАН ТЕТЯНА КОСТЯНТИНИВНА"</t>
  </si>
  <si>
    <t>ФОП "ЩЕРБАТЮК СВІТЛАНА ІВАНІВНА"</t>
  </si>
  <si>
    <t>ФОП Єременко Ганна Федорівна</t>
  </si>
  <si>
    <t>ФОП ІВАЩЕНКО ВІРА ІВАНІВНА</t>
  </si>
  <si>
    <t>ФОП Волошко Марина Олександрівна</t>
  </si>
  <si>
    <t>ФОП ГЛЕВИЧ ЮРІЙ МИКОЛАЙОВИЧ</t>
  </si>
  <si>
    <t>ФОП Гладка Тетяна Ігорівна</t>
  </si>
  <si>
    <t>ФОП ДОБРОВОЛЬСЬКИЙ ВОЛОДИМИР СТАНІСЛАВОВИЧ</t>
  </si>
  <si>
    <t>ФОП Довгий Михайло Михайлович</t>
  </si>
  <si>
    <t>ФОП КРИМОВА ІННА ВАСИЛІВНА</t>
  </si>
  <si>
    <t>ФОП ЛОЗОВСЬКА ЯНА ГЕННАДІЇВНА</t>
  </si>
  <si>
    <t>ФОП Маковецький Денис Сергійович</t>
  </si>
  <si>
    <t>ФОП Чубін Олександр Федорович</t>
  </si>
  <si>
    <t>ФОП Шлюпенков Олександр Анатолійович</t>
  </si>
  <si>
    <t>ФОП ЯНЧУК ІРИНА ВАСИЛІВНА</t>
  </si>
  <si>
    <t>ФОП Яковчук Аліна Олексіївна</t>
  </si>
  <si>
    <t>Фактичний переможець</t>
  </si>
  <si>
    <t>Фарби</t>
  </si>
  <si>
    <t>Фарбування та скління</t>
  </si>
  <si>
    <t>Фентаніл, розчин для ін'єкцій, 0,05 мг/мл, по 2 мл; Кетамін, розчин для ін'єкцій, 50 мг/мл по 2 мл; Діазепам, розчин для ін`єкцій, 5 мг/мл по 2 мл; Морфін, розчин для ін`єкцій, 10 мг/мл по 1 мл; Лоразепам таблетки по 2,5 мг; Фенобарбітал, таблетки, по 5 мг</t>
  </si>
  <si>
    <t>Фланель</t>
  </si>
  <si>
    <t>Фліпчарт на тринозі</t>
  </si>
  <si>
    <t>Формаліну розчин 10%, 5000мл</t>
  </si>
  <si>
    <t>Форменний одяг</t>
  </si>
  <si>
    <t>Фотокопіювальне та поліграфічне обладнання для офсетного друку</t>
  </si>
  <si>
    <t>Фотохімікати</t>
  </si>
  <si>
    <t>Фурнітура</t>
  </si>
  <si>
    <t>Фурнітура різна</t>
  </si>
  <si>
    <t>Фізична особа-підприємець Василенко Олена Олександрівна</t>
  </si>
  <si>
    <t>Фізична особа-підприємець Звегінцев Валерій Вікторович</t>
  </si>
  <si>
    <t>Фізична особа-підприємець Северинов Дмитро Олександрович</t>
  </si>
  <si>
    <t>Фітоменадіон, розчин для ін'єкцій, 10 мг/мл, по 1 мл; Менадіон розчин для ін'єкцій, 10 мг/мл по 1 мл</t>
  </si>
  <si>
    <t>Харчові суміші</t>
  </si>
  <si>
    <t>Хімічна продукція</t>
  </si>
  <si>
    <t>Хімічні речовини різні</t>
  </si>
  <si>
    <t>ЦАРИННА ОЛЕНА ВАСИЛІВНА</t>
  </si>
  <si>
    <t>ЦВІРОВ ІВАН МИКОЛАЙОВИЧ</t>
  </si>
  <si>
    <t>ЦВІРОВА ОЛЕНА СТАНІСЛАВІВНА</t>
  </si>
  <si>
    <t>ЦТО -2575/25</t>
  </si>
  <si>
    <t>ЦТО-1/25</t>
  </si>
  <si>
    <t>ЦТО-2/25</t>
  </si>
  <si>
    <t>ЦТО-2513/25</t>
  </si>
  <si>
    <t>ЦТО-818/26</t>
  </si>
  <si>
    <t>ЦТО-819/26</t>
  </si>
  <si>
    <t>ЦТО-820/26</t>
  </si>
  <si>
    <t>ЧЕКАНЦЕВА ЛЮБОВ АНАТОЛІЇВНА</t>
  </si>
  <si>
    <t>ЧЕТВЕРИЛО ЮРІЙ ВОЛОДИМИРОВИЧ</t>
  </si>
  <si>
    <t>ШАКІРОВ СЕРГІЙ ОЛЕКСАНДРОВИЧ</t>
  </si>
  <si>
    <t>ШЕСТОВСЬКА НАДІЯ МИКОЛАЇВНА</t>
  </si>
  <si>
    <t>ШКИДЧЕНКО ІГОР ВОЛОДИМИРОВИЧ</t>
  </si>
  <si>
    <t>ШЛЮПЕНКОВ ОЛЕКСАНДР АНАТОЛІЙОВИЧ</t>
  </si>
  <si>
    <t>Шафа 1200х600х2430</t>
  </si>
  <si>
    <t>Шафа для зберігання ШМ-3; Шафа матеріальна ШМа-2; Підставка під тази ПТ-3; Столик анестезіолога, столешниця з нержавіючої сталі СА-3; Столик хірургічний СХ-1; Столик хірургічний СХ-2; Столик надліжковий СНа-1; Стійка для шприцевих дозаторів  СТШ-1; Підставка під бікси ПБ-1; Столик анестезіолога, столешниця з нержавіючої сталі  СА-10; Стілець асистента Ст-2; Столик анестезіолога, столешниця з нержавіючої сталі  СА-6; Стіл для перев’язок, столешниця з нержавіючої сталі СДП-2; Шафа матеріальна ШМа-1; Стійка для приладів СТП-6; Підставка сходинка медична Пт-Сх-2; Шафи матеріальні ШД-М; Візок медичний для чистої  білизни ВМб-3; Візок медичний для брудної білизни ВМв-7; Тумбочка медична ТМед-3; Візок медичний з нержавіючої сталі для стерильної тари  ВМт-3; Кушетка КМд-4; Ноші медичні «БІОМЕД» B13</t>
  </si>
  <si>
    <t>Шафи</t>
  </si>
  <si>
    <t>Швидкий тест для Виявлення вірусу гепатиту В, матеріал дослідження : Цільна кров, формат тесту: Тест-касета, специфічність від : 95 %, чутливість від : 95 %; Швидкий тест на Виявлення вірусу гепатиту С в Цільна кров, Тест-касета, специфічність від 95 %, чутливість від 95 %; Тести швидкі для визначення інфекційних захворювань: Виявлення антитіл до ВІЛ-1/ВІЛ-2, гепатиту В, гепатиту С, Матеріал дослідження: Цільна кров/Сироватка/Плазма, Специфічність від: 95%, Чутливість від: 95 %, Формат тесту: Тест-касета; Швидкий тест для Виявлення антигенів вірусів грипу В, матеріал дослідження : Слиз, формат тесту: Тест-касета, специфічність від : 95 %, чутливість від : 95 %; Тести швидкі на кардіомаркери; Швидкий тест на LSD для визначення в сечі, №1; Тести швидкі на наркотичні речовини; Тест швидкий на 10 наркотичних речовин: Формат тесту: Тест-панель, Матеріал дослідження: Сеча, Чутливість: від 95 %, Специфічність від: 95 %</t>
  </si>
  <si>
    <t>Швидкозшивачі та супутнє приладдя</t>
  </si>
  <si>
    <t>Швидкі (експрес) тести для діагностики коронавірусу COVID-19 методом ІХА (антиген), чутливістю від 90% до 99,9% та специфічністю від 90%, №20 (для 20 осіб); Тест-смужки Finetest Auto-coding Premium для глюкометра; Тести швидкі для визначення інфекційних захворювань: Виявлення вірусу ВІЛ-1/ВІЛ-2, Метод аналізу: ІХА, Матеріал дослідження: Цільна кров, Сироватка, Плазма, Специфічність від: 99 %, Чутливість від: 99 %, Формат тесту: Тест-касета; Тести швидкі для визначення інфекційних захворювань: Призначення: Виявлення антитіл до ВІЛ-1, ВІЛ-2, Метод аналізу: ІХА, Матеріал дослідження: Цільна кров, Специфічність: 95-100 %, Чутливість: 95-100 %, Формат тесту: Тест-касета; Швидкий тест на Виявлення вірусу гепатиту С в Цільна кров, Тест-касета, специфічність від 95 %, чутливість від 95 %; Швидкий тест для Виявлення вірусу гепатиту В, матеріал дослідження : Цільна кров, формат тесту: Тест-касета, специфічність від : 95 %, чутливість від : 95 %; Комбінований тест на 10 наркотиків : Швидкий тест на метамфетамін (mAMP/МЕТ), марихуану (ТНС), морфін (МОР), котинін (COT), метадон (MTD),барбітурати (BAR), амфетамін (AMP), бензодіазепін (BZO), фенциклідин (PCP), екстазі (MDMA) в сечі №1; Швидкий тест для Виявлення антигенів вірусів грипу А+В, матеріал дослідження : Слиз, формат тесту: Тест-касета, специфічність від : 95 %, чутливість від : 95 %; Швидкий тест для Виявлення антитіл до ротавiрусної iнфекцiї, матеріал дослідження : Фекалії, формат тесту: Тест-касета, специфічність від : 95 %, чутливість від : 95 %; Швидкий тест на Виявлення антигенів стрептококів групи А в Слиз, Тест-касета, специфічність від 95 %, чутливість від 95 %; Тест- смужки для визначення рівня холестерину в крові №25; Тести швидкі для контролю якості (Фізичний контроль стерилізації), 132/20 °С/хв.; Тести швидкі для контролю якості (Фізичний контроль стерилізації), 180/60 °С/хв.; Смуги індикаторні, критерії вимірювання : 132/20 °С/хв., контроль парової стерилізації 4 класу (зовні упаковки), розмір полоски 35.0 x 10.0 x 1.0 мм.; Тест-смужки до глюкометра: Серія/Лінійка: i-Sens, Вимірювання показників: Глюкоза, Кодування, Об’єм зразка, мкл: 0.5, Час визначення: 5 секунд, Діапазон вимірювання рівня глюкози, ммоль: 1,1-33,3 ммоль/л, Кількість штук в упаковці: 50 штук</t>
  </si>
  <si>
    <t>Шпалери</t>
  </si>
  <si>
    <t>Штукатурки</t>
  </si>
  <si>
    <t>ЩЕРБАТЮК СВІТЛАНА ІВАНІВНА</t>
  </si>
  <si>
    <t>ЯСИНСЬКА МИРОСЛАВА ЄВГЕНІВНА</t>
  </si>
  <si>
    <t>Якщо ви маєте пропозицію чи побажання щодо покращення цього звіту, напишіть нам, будь ласка:</t>
  </si>
  <si>
    <t>москітні сітки</t>
  </si>
  <si>
    <t>пробка пластикова</t>
  </si>
  <si>
    <t>рН-метр; Електрод; Аналізатор біохімічний  (фотометр); Гематологічний аналізатор; Аналізатори глюкози та лактата  крові; Аналізатори електролітів крові; Аналізатори хемілюмісцентний імунологічний; Ареометр для урини АУ; Напівавтоматичний 2х канальний коагулометр; Прилад для визначення мутності бактеріальної суспензії ; Глюкометр; Інфрачервоний термометр безконтактний; Дозатори піпеткові (за один канал); Дефібрилятор; УЗД-апарати; Пульсоксиметр; Фетальні монітори; Електрокардіографи; Монітори пацієнта; Ваги для зважування до 20 кг; Ваги для зважування до 500 кг; Ваги лабораторні електронні СВА-300-0,005; Сфігмоманометри механічні; Гігрометри психрометричні; Манометри електроконтактні; Термометри ТС-7м1; Термометр ректальний</t>
  </si>
  <si>
    <t>№</t>
  </si>
  <si>
    <t>UA-2026-05-06-012760-a</t>
  </si>
  <si>
    <t>80570000-2. Послуги з професійної підготовки спеціалістів</t>
  </si>
  <si>
    <t>ТОВ "Експертус ТЕК"</t>
  </si>
  <si>
    <t>UA-2026-05-06-012420-a</t>
  </si>
  <si>
    <t>716210000-7. Послуги з технічного аналізу чи консультаційні послуги</t>
  </si>
  <si>
    <t>ТОВ "Медична компанія "ЕМПІРІКА"</t>
  </si>
  <si>
    <t>UA-2026-04-27-013916-a</t>
  </si>
  <si>
    <t>33140000-3. Медичні матеріали</t>
  </si>
  <si>
    <t>ТОВ "ЛАКМЕД"</t>
  </si>
  <si>
    <t>UA-2026-04-17-007530-a</t>
  </si>
  <si>
    <t>одноразовий одяг</t>
  </si>
  <si>
    <t>331410000-0. Медичні матеріали</t>
  </si>
  <si>
    <t>UA-2026-04-17-006941-a</t>
  </si>
  <si>
    <t>Засоби для догляду за малюками</t>
  </si>
  <si>
    <t>33750000-2. Засоби для догляду за малюками</t>
  </si>
  <si>
    <t>UA-2026-05-04-008910-a</t>
  </si>
  <si>
    <t>Фармацевтична продукція</t>
  </si>
  <si>
    <t>33600000-6. Фармацевтична продукція</t>
  </si>
  <si>
    <t>ТОВ "Белітрейд"</t>
  </si>
  <si>
    <t>UA-2026-05-04-008725-a</t>
  </si>
  <si>
    <t>UA-2026-05-04-009977-a</t>
  </si>
  <si>
    <t>Папір для друку</t>
  </si>
  <si>
    <t>30190000-7. Офісне устаткування та приладдя різне</t>
  </si>
  <si>
    <t>ТОВ "Торгово-виробнича група" Український папір"</t>
  </si>
  <si>
    <t>UA-2026-05-19-008824-a</t>
  </si>
  <si>
    <t>Пірацетам</t>
  </si>
  <si>
    <t>ТОВ "Аметрін ФК"</t>
  </si>
  <si>
    <t>UA-2026-05-20-012762-a</t>
  </si>
  <si>
    <t>Кофеїн</t>
  </si>
  <si>
    <t>33660000-4. Лікарські засоби для лікування хвороб нервової системи та захворювання органів чуття</t>
  </si>
  <si>
    <t>ТОВ "Юрія Фарм"</t>
  </si>
  <si>
    <t>UA-2026-05-20-013319-a</t>
  </si>
  <si>
    <t>Наконечники</t>
  </si>
  <si>
    <t>38430000-8. Детектори та аналізатори</t>
  </si>
  <si>
    <t>UA-2026-05-19-008958-a</t>
  </si>
  <si>
    <t>Кліндаміцин</t>
  </si>
  <si>
    <t>UA-2026-05-22-002366-a</t>
  </si>
  <si>
    <t>ТОВ "Фармінновації"</t>
  </si>
  <si>
    <t>UA-2026-05-08-007847-a</t>
  </si>
  <si>
    <t xml:space="preserve">Бензин А-95 (талони) </t>
  </si>
  <si>
    <t>09130000-9. Нафта і дистиляти</t>
  </si>
  <si>
    <t>ПП "ОККО-СЕРВІС"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</si>
</sst>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dd\.mm\.yyyy\ hh:mm"/>
  </numFmts>
  <fonts count="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10"/>
      <color rgb="FF2070D1"/>
      <name val="Arial"/>
      <family val="2"/>
      <charset val="204"/>
    </font>
    <font>
      <sz val="10"/>
      <color rgb="FF2070D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1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wrapText="1"/>
    </xf>
    <xf numFmtId="0" fontId="4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0" fontId="5" fillId="0" borderId="0" xfId="0" applyFont="1"/>
    <xf numFmtId="0" fontId="6" fillId="0" borderId="0" xfId="0" applyFont="1"/>
    <xf numFmtId="49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my.zakupivli.pro/remote/dispatcher/state_purchase_view/67196183" TargetMode="External"/><Relationship Id="rId671" Type="http://schemas.openxmlformats.org/officeDocument/2006/relationships/hyperlink" Target="https://my.zakupivli.pro/remote/dispatcher/state_purchase_view/59296716" TargetMode="External"/><Relationship Id="rId769" Type="http://schemas.openxmlformats.org/officeDocument/2006/relationships/hyperlink" Target="https://my.zakupivli.pro/remote/dispatcher/state_purchase_view/57980421" TargetMode="External"/><Relationship Id="rId976" Type="http://schemas.openxmlformats.org/officeDocument/2006/relationships/hyperlink" Target="https://my.zakupivli.pro/remote/dispatcher/state_purchase_view/55834756" TargetMode="External"/><Relationship Id="rId21" Type="http://schemas.openxmlformats.org/officeDocument/2006/relationships/hyperlink" Target="https://my.zakupivli.pro/remote/dispatcher/state_purchase_view/68419474" TargetMode="External"/><Relationship Id="rId324" Type="http://schemas.openxmlformats.org/officeDocument/2006/relationships/hyperlink" Target="https://my.zakupivli.pro/remote/dispatcher/state_purchase_view/65013496" TargetMode="External"/><Relationship Id="rId531" Type="http://schemas.openxmlformats.org/officeDocument/2006/relationships/hyperlink" Target="https://my.zakupivli.pro/remote/dispatcher/state_purchase_view/61186205" TargetMode="External"/><Relationship Id="rId629" Type="http://schemas.openxmlformats.org/officeDocument/2006/relationships/hyperlink" Target="https://my.zakupivli.pro/remote/dispatcher/state_purchase_view/60165659" TargetMode="External"/><Relationship Id="rId170" Type="http://schemas.openxmlformats.org/officeDocument/2006/relationships/hyperlink" Target="https://my.zakupivli.pro/remote/dispatcher/state_purchase_view/66479209" TargetMode="External"/><Relationship Id="rId836" Type="http://schemas.openxmlformats.org/officeDocument/2006/relationships/hyperlink" Target="https://my.zakupivli.pro/remote/dispatcher/state_purchase_view/57203133" TargetMode="External"/><Relationship Id="rId268" Type="http://schemas.openxmlformats.org/officeDocument/2006/relationships/hyperlink" Target="https://my.zakupivli.pro/remote/dispatcher/state_purchase_view/65645321" TargetMode="External"/><Relationship Id="rId475" Type="http://schemas.openxmlformats.org/officeDocument/2006/relationships/hyperlink" Target="https://my.zakupivli.pro/remote/dispatcher/state_purchase_view/61934051" TargetMode="External"/><Relationship Id="rId682" Type="http://schemas.openxmlformats.org/officeDocument/2006/relationships/hyperlink" Target="https://my.zakupivli.pro/remote/dispatcher/state_purchase_view/59051562" TargetMode="External"/><Relationship Id="rId903" Type="http://schemas.openxmlformats.org/officeDocument/2006/relationships/hyperlink" Target="https://my.zakupivli.pro/remote/dispatcher/state_purchase_view/56606163" TargetMode="External"/><Relationship Id="rId32" Type="http://schemas.openxmlformats.org/officeDocument/2006/relationships/hyperlink" Target="https://my.zakupivli.pro/remote/dispatcher/state_purchase_view/68332976" TargetMode="External"/><Relationship Id="rId128" Type="http://schemas.openxmlformats.org/officeDocument/2006/relationships/hyperlink" Target="https://my.zakupivli.pro/remote/dispatcher/state_purchase_view/67014163" TargetMode="External"/><Relationship Id="rId335" Type="http://schemas.openxmlformats.org/officeDocument/2006/relationships/hyperlink" Target="https://my.zakupivli.pro/remote/dispatcher/state_purchase_view/64726471" TargetMode="External"/><Relationship Id="rId542" Type="http://schemas.openxmlformats.org/officeDocument/2006/relationships/hyperlink" Target="https://my.zakupivli.pro/remote/dispatcher/state_purchase_view/61091544" TargetMode="External"/><Relationship Id="rId987" Type="http://schemas.openxmlformats.org/officeDocument/2006/relationships/hyperlink" Target="https://my.zakupivli.pro/remote/dispatcher/state_purchase_view/55592837" TargetMode="External"/><Relationship Id="rId181" Type="http://schemas.openxmlformats.org/officeDocument/2006/relationships/hyperlink" Target="https://my.zakupivli.pro/remote/dispatcher/state_purchase_view/66414721" TargetMode="External"/><Relationship Id="rId402" Type="http://schemas.openxmlformats.org/officeDocument/2006/relationships/hyperlink" Target="https://my.zakupivli.pro/remote/dispatcher/state_purchase_view/62951482" TargetMode="External"/><Relationship Id="rId847" Type="http://schemas.openxmlformats.org/officeDocument/2006/relationships/hyperlink" Target="https://my.zakupivli.pro/remote/dispatcher/state_purchase_view/57004018" TargetMode="External"/><Relationship Id="rId279" Type="http://schemas.openxmlformats.org/officeDocument/2006/relationships/hyperlink" Target="https://my.zakupivli.pro/remote/dispatcher/state_purchase_view/65529377" TargetMode="External"/><Relationship Id="rId486" Type="http://schemas.openxmlformats.org/officeDocument/2006/relationships/hyperlink" Target="https://my.zakupivli.pro/remote/dispatcher/state_purchase_view/61768839" TargetMode="External"/><Relationship Id="rId693" Type="http://schemas.openxmlformats.org/officeDocument/2006/relationships/hyperlink" Target="https://my.zakupivli.pro/remote/dispatcher/state_purchase_view/58931046" TargetMode="External"/><Relationship Id="rId707" Type="http://schemas.openxmlformats.org/officeDocument/2006/relationships/hyperlink" Target="https://my.zakupivli.pro/remote/dispatcher/state_purchase_view/58790886" TargetMode="External"/><Relationship Id="rId914" Type="http://schemas.openxmlformats.org/officeDocument/2006/relationships/hyperlink" Target="https://my.zakupivli.pro/remote/dispatcher/state_purchase_view/56527841" TargetMode="External"/><Relationship Id="rId43" Type="http://schemas.openxmlformats.org/officeDocument/2006/relationships/hyperlink" Target="https://my.zakupivli.pro/remote/dispatcher/state_purchase_view/68207621" TargetMode="External"/><Relationship Id="rId139" Type="http://schemas.openxmlformats.org/officeDocument/2006/relationships/hyperlink" Target="https://my.zakupivli.pro/remote/dispatcher/state_purchase_view/67000893" TargetMode="External"/><Relationship Id="rId346" Type="http://schemas.openxmlformats.org/officeDocument/2006/relationships/hyperlink" Target="https://my.zakupivli.pro/remote/dispatcher/state_purchase_view/64223032" TargetMode="External"/><Relationship Id="rId553" Type="http://schemas.openxmlformats.org/officeDocument/2006/relationships/hyperlink" Target="https://my.zakupivli.pro/remote/dispatcher/state_purchase_view/60944070" TargetMode="External"/><Relationship Id="rId760" Type="http://schemas.openxmlformats.org/officeDocument/2006/relationships/hyperlink" Target="https://my.zakupivli.pro/remote/dispatcher/state_purchase_view/58110204" TargetMode="External"/><Relationship Id="rId998" Type="http://schemas.openxmlformats.org/officeDocument/2006/relationships/hyperlink" Target="https://my.zakupivli.pro/remote/dispatcher/state_purchase_view/55254150" TargetMode="External"/><Relationship Id="rId192" Type="http://schemas.openxmlformats.org/officeDocument/2006/relationships/hyperlink" Target="https://my.zakupivli.pro/remote/dispatcher/state_purchase_view/66278671" TargetMode="External"/><Relationship Id="rId206" Type="http://schemas.openxmlformats.org/officeDocument/2006/relationships/hyperlink" Target="https://my.zakupivli.pro/remote/dispatcher/state_purchase_view/66127878" TargetMode="External"/><Relationship Id="rId413" Type="http://schemas.openxmlformats.org/officeDocument/2006/relationships/hyperlink" Target="https://my.zakupivli.pro/remote/dispatcher/state_purchase_view/62666604" TargetMode="External"/><Relationship Id="rId858" Type="http://schemas.openxmlformats.org/officeDocument/2006/relationships/hyperlink" Target="https://my.zakupivli.pro/remote/dispatcher/state_purchase_view/56837120" TargetMode="External"/><Relationship Id="rId497" Type="http://schemas.openxmlformats.org/officeDocument/2006/relationships/hyperlink" Target="https://my.zakupivli.pro/remote/dispatcher/state_purchase_view/61679018" TargetMode="External"/><Relationship Id="rId620" Type="http://schemas.openxmlformats.org/officeDocument/2006/relationships/hyperlink" Target="https://my.zakupivli.pro/remote/dispatcher/state_purchase_view/60202977" TargetMode="External"/><Relationship Id="rId718" Type="http://schemas.openxmlformats.org/officeDocument/2006/relationships/hyperlink" Target="https://my.zakupivli.pro/remote/dispatcher/state_purchase_view/58632822" TargetMode="External"/><Relationship Id="rId925" Type="http://schemas.openxmlformats.org/officeDocument/2006/relationships/hyperlink" Target="https://my.zakupivli.pro/remote/dispatcher/state_purchase_view/56443185" TargetMode="External"/><Relationship Id="rId357" Type="http://schemas.openxmlformats.org/officeDocument/2006/relationships/hyperlink" Target="https://my.zakupivli.pro/remote/dispatcher/state_purchase_view/63748153" TargetMode="External"/><Relationship Id="rId54" Type="http://schemas.openxmlformats.org/officeDocument/2006/relationships/hyperlink" Target="https://my.zakupivli.pro/remote/dispatcher/state_purchase_view/68008553" TargetMode="External"/><Relationship Id="rId217" Type="http://schemas.openxmlformats.org/officeDocument/2006/relationships/hyperlink" Target="https://my.zakupivli.pro/remote/dispatcher/state_purchase_view/66047847" TargetMode="External"/><Relationship Id="rId564" Type="http://schemas.openxmlformats.org/officeDocument/2006/relationships/hyperlink" Target="https://my.zakupivli.pro/remote/dispatcher/state_purchase_view/60705971" TargetMode="External"/><Relationship Id="rId771" Type="http://schemas.openxmlformats.org/officeDocument/2006/relationships/hyperlink" Target="https://my.zakupivli.pro/remote/dispatcher/state_purchase_view/57921829" TargetMode="External"/><Relationship Id="rId869" Type="http://schemas.openxmlformats.org/officeDocument/2006/relationships/hyperlink" Target="https://my.zakupivli.pro/remote/dispatcher/state_purchase_view/56799193" TargetMode="External"/><Relationship Id="rId424" Type="http://schemas.openxmlformats.org/officeDocument/2006/relationships/hyperlink" Target="https://my.zakupivli.pro/remote/dispatcher/state_purchase_view/62493320" TargetMode="External"/><Relationship Id="rId631" Type="http://schemas.openxmlformats.org/officeDocument/2006/relationships/hyperlink" Target="https://my.zakupivli.pro/remote/dispatcher/state_purchase_view/60119090" TargetMode="External"/><Relationship Id="rId729" Type="http://schemas.openxmlformats.org/officeDocument/2006/relationships/hyperlink" Target="https://my.zakupivli.pro/remote/dispatcher/state_purchase_view/58446450" TargetMode="External"/><Relationship Id="rId270" Type="http://schemas.openxmlformats.org/officeDocument/2006/relationships/hyperlink" Target="https://my.zakupivli.pro/remote/dispatcher/state_purchase_view/65643545" TargetMode="External"/><Relationship Id="rId936" Type="http://schemas.openxmlformats.org/officeDocument/2006/relationships/hyperlink" Target="https://my.zakupivli.pro/remote/dispatcher/state_purchase_view/56431281" TargetMode="External"/><Relationship Id="rId65" Type="http://schemas.openxmlformats.org/officeDocument/2006/relationships/hyperlink" Target="https://my.zakupivli.pro/remote/dispatcher/state_purchase_view/67851186" TargetMode="External"/><Relationship Id="rId130" Type="http://schemas.openxmlformats.org/officeDocument/2006/relationships/hyperlink" Target="https://my.zakupivli.pro/remote/dispatcher/state_purchase_view/67012034" TargetMode="External"/><Relationship Id="rId368" Type="http://schemas.openxmlformats.org/officeDocument/2006/relationships/hyperlink" Target="https://my.zakupivli.pro/remote/dispatcher/state_purchase_view/63561485" TargetMode="External"/><Relationship Id="rId575" Type="http://schemas.openxmlformats.org/officeDocument/2006/relationships/hyperlink" Target="https://my.zakupivli.pro/remote/dispatcher/state_purchase_view/60600348" TargetMode="External"/><Relationship Id="rId782" Type="http://schemas.openxmlformats.org/officeDocument/2006/relationships/hyperlink" Target="https://my.zakupivli.pro/remote/dispatcher/state_purchase_view/57812182" TargetMode="External"/><Relationship Id="rId228" Type="http://schemas.openxmlformats.org/officeDocument/2006/relationships/hyperlink" Target="https://my.zakupivli.pro/remote/dispatcher/state_purchase_view/65924319" TargetMode="External"/><Relationship Id="rId435" Type="http://schemas.openxmlformats.org/officeDocument/2006/relationships/hyperlink" Target="https://my.zakupivli.pro/remote/dispatcher/state_purchase_view/62349370" TargetMode="External"/><Relationship Id="rId642" Type="http://schemas.openxmlformats.org/officeDocument/2006/relationships/hyperlink" Target="https://my.zakupivli.pro/remote/dispatcher/state_purchase_view/59984793" TargetMode="External"/><Relationship Id="rId281" Type="http://schemas.openxmlformats.org/officeDocument/2006/relationships/hyperlink" Target="https://my.zakupivli.pro/remote/dispatcher/state_purchase_view/65527083" TargetMode="External"/><Relationship Id="rId502" Type="http://schemas.openxmlformats.org/officeDocument/2006/relationships/hyperlink" Target="https://my.zakupivli.pro/remote/dispatcher/state_purchase_view/61652645" TargetMode="External"/><Relationship Id="rId947" Type="http://schemas.openxmlformats.org/officeDocument/2006/relationships/hyperlink" Target="https://my.zakupivli.pro/remote/dispatcher/state_purchase_view/56387391" TargetMode="External"/><Relationship Id="rId76" Type="http://schemas.openxmlformats.org/officeDocument/2006/relationships/hyperlink" Target="https://my.zakupivli.pro/remote/dispatcher/state_purchase_view/67721187" TargetMode="External"/><Relationship Id="rId141" Type="http://schemas.openxmlformats.org/officeDocument/2006/relationships/hyperlink" Target="https://my.zakupivli.pro/remote/dispatcher/state_purchase_view/66998281" TargetMode="External"/><Relationship Id="rId379" Type="http://schemas.openxmlformats.org/officeDocument/2006/relationships/hyperlink" Target="https://my.zakupivli.pro/remote/dispatcher/state_purchase_view/63238956" TargetMode="External"/><Relationship Id="rId586" Type="http://schemas.openxmlformats.org/officeDocument/2006/relationships/hyperlink" Target="https://my.zakupivli.pro/remote/dispatcher/state_purchase_view/60460185" TargetMode="External"/><Relationship Id="rId793" Type="http://schemas.openxmlformats.org/officeDocument/2006/relationships/hyperlink" Target="https://my.zakupivli.pro/remote/dispatcher/state_purchase_view/57670248" TargetMode="External"/><Relationship Id="rId807" Type="http://schemas.openxmlformats.org/officeDocument/2006/relationships/hyperlink" Target="https://my.zakupivli.pro/remote/dispatcher/state_purchase_view/57574192" TargetMode="External"/><Relationship Id="rId7" Type="http://schemas.openxmlformats.org/officeDocument/2006/relationships/hyperlink" Target="https://my.zakupivli.pro/remote/dispatcher/state_purchase_view/68532244" TargetMode="External"/><Relationship Id="rId239" Type="http://schemas.openxmlformats.org/officeDocument/2006/relationships/hyperlink" Target="https://my.zakupivli.pro/remote/dispatcher/state_purchase_view/65887026" TargetMode="External"/><Relationship Id="rId446" Type="http://schemas.openxmlformats.org/officeDocument/2006/relationships/hyperlink" Target="https://my.zakupivli.pro/remote/dispatcher/state_purchase_view/62176082" TargetMode="External"/><Relationship Id="rId653" Type="http://schemas.openxmlformats.org/officeDocument/2006/relationships/hyperlink" Target="https://my.zakupivli.pro/remote/dispatcher/state_purchase_view/59788583" TargetMode="External"/><Relationship Id="rId292" Type="http://schemas.openxmlformats.org/officeDocument/2006/relationships/hyperlink" Target="https://my.zakupivli.pro/remote/dispatcher/state_purchase_view/65293402" TargetMode="External"/><Relationship Id="rId306" Type="http://schemas.openxmlformats.org/officeDocument/2006/relationships/hyperlink" Target="https://my.zakupivli.pro/remote/dispatcher/state_purchase_view/65140974" TargetMode="External"/><Relationship Id="rId860" Type="http://schemas.openxmlformats.org/officeDocument/2006/relationships/hyperlink" Target="https://my.zakupivli.pro/remote/dispatcher/state_purchase_view/56833597" TargetMode="External"/><Relationship Id="rId958" Type="http://schemas.openxmlformats.org/officeDocument/2006/relationships/hyperlink" Target="https://my.zakupivli.pro/remote/dispatcher/state_purchase_view/56373376" TargetMode="External"/><Relationship Id="rId87" Type="http://schemas.openxmlformats.org/officeDocument/2006/relationships/hyperlink" Target="https://my.zakupivli.pro/remote/dispatcher/state_purchase_view/67515345" TargetMode="External"/><Relationship Id="rId513" Type="http://schemas.openxmlformats.org/officeDocument/2006/relationships/hyperlink" Target="https://my.zakupivli.pro/remote/dispatcher/state_purchase_view/61456850" TargetMode="External"/><Relationship Id="rId597" Type="http://schemas.openxmlformats.org/officeDocument/2006/relationships/hyperlink" Target="https://my.zakupivli.pro/remote/dispatcher/state_purchase_view/60427408" TargetMode="External"/><Relationship Id="rId720" Type="http://schemas.openxmlformats.org/officeDocument/2006/relationships/hyperlink" Target="https://my.zakupivli.pro/remote/dispatcher/state_purchase_view/58589053" TargetMode="External"/><Relationship Id="rId818" Type="http://schemas.openxmlformats.org/officeDocument/2006/relationships/hyperlink" Target="https://my.zakupivli.pro/remote/dispatcher/state_purchase_view/57394389" TargetMode="External"/><Relationship Id="rId152" Type="http://schemas.openxmlformats.org/officeDocument/2006/relationships/hyperlink" Target="https://my.zakupivli.pro/remote/dispatcher/state_purchase_view/66836324" TargetMode="External"/><Relationship Id="rId457" Type="http://schemas.openxmlformats.org/officeDocument/2006/relationships/hyperlink" Target="https://my.zakupivli.pro/remote/dispatcher/state_purchase_view/62088592" TargetMode="External"/><Relationship Id="rId664" Type="http://schemas.openxmlformats.org/officeDocument/2006/relationships/hyperlink" Target="https://my.zakupivli.pro/remote/dispatcher/state_purchase_view/59388971" TargetMode="External"/><Relationship Id="rId871" Type="http://schemas.openxmlformats.org/officeDocument/2006/relationships/hyperlink" Target="https://my.zakupivli.pro/remote/dispatcher/state_purchase_view/56797114" TargetMode="External"/><Relationship Id="rId969" Type="http://schemas.openxmlformats.org/officeDocument/2006/relationships/hyperlink" Target="https://my.zakupivli.pro/remote/dispatcher/state_purchase_view/56193147" TargetMode="External"/><Relationship Id="rId14" Type="http://schemas.openxmlformats.org/officeDocument/2006/relationships/hyperlink" Target="https://my.zakupivli.pro/remote/dispatcher/state_purchase_view/68490708" TargetMode="External"/><Relationship Id="rId317" Type="http://schemas.openxmlformats.org/officeDocument/2006/relationships/hyperlink" Target="https://my.zakupivli.pro/remote/dispatcher/state_purchase_view/65122350" TargetMode="External"/><Relationship Id="rId524" Type="http://schemas.openxmlformats.org/officeDocument/2006/relationships/hyperlink" Target="https://my.zakupivli.pro/remote/dispatcher/state_purchase_view/61313410" TargetMode="External"/><Relationship Id="rId731" Type="http://schemas.openxmlformats.org/officeDocument/2006/relationships/hyperlink" Target="https://my.zakupivli.pro/remote/dispatcher/state_purchase_view/58441475" TargetMode="External"/><Relationship Id="rId98" Type="http://schemas.openxmlformats.org/officeDocument/2006/relationships/hyperlink" Target="https://my.zakupivli.pro/remote/dispatcher/state_purchase_view/67404257" TargetMode="External"/><Relationship Id="rId163" Type="http://schemas.openxmlformats.org/officeDocument/2006/relationships/hyperlink" Target="https://my.zakupivli.pro/remote/dispatcher/state_purchase_view/66619089" TargetMode="External"/><Relationship Id="rId370" Type="http://schemas.openxmlformats.org/officeDocument/2006/relationships/hyperlink" Target="https://my.zakupivli.pro/remote/dispatcher/state_purchase_view/63560081" TargetMode="External"/><Relationship Id="rId829" Type="http://schemas.openxmlformats.org/officeDocument/2006/relationships/hyperlink" Target="https://my.zakupivli.pro/remote/dispatcher/state_purchase_view/57304593" TargetMode="External"/><Relationship Id="rId230" Type="http://schemas.openxmlformats.org/officeDocument/2006/relationships/hyperlink" Target="https://my.zakupivli.pro/remote/dispatcher/state_purchase_view/65923689" TargetMode="External"/><Relationship Id="rId468" Type="http://schemas.openxmlformats.org/officeDocument/2006/relationships/hyperlink" Target="https://my.zakupivli.pro/remote/dispatcher/state_purchase_view/62071637" TargetMode="External"/><Relationship Id="rId675" Type="http://schemas.openxmlformats.org/officeDocument/2006/relationships/hyperlink" Target="https://my.zakupivli.pro/remote/dispatcher/state_purchase_view/59116077" TargetMode="External"/><Relationship Id="rId882" Type="http://schemas.openxmlformats.org/officeDocument/2006/relationships/hyperlink" Target="https://my.zakupivli.pro/remote/dispatcher/state_purchase_view/56698303" TargetMode="External"/><Relationship Id="rId25" Type="http://schemas.openxmlformats.org/officeDocument/2006/relationships/hyperlink" Target="https://my.zakupivli.pro/remote/dispatcher/state_purchase_view/68369920" TargetMode="External"/><Relationship Id="rId328" Type="http://schemas.openxmlformats.org/officeDocument/2006/relationships/hyperlink" Target="https://my.zakupivli.pro/remote/dispatcher/state_purchase_view/64928322" TargetMode="External"/><Relationship Id="rId535" Type="http://schemas.openxmlformats.org/officeDocument/2006/relationships/hyperlink" Target="https://my.zakupivli.pro/remote/dispatcher/state_purchase_view/61174659" TargetMode="External"/><Relationship Id="rId742" Type="http://schemas.openxmlformats.org/officeDocument/2006/relationships/hyperlink" Target="https://my.zakupivli.pro/remote/dispatcher/state_purchase_view/58331104" TargetMode="External"/><Relationship Id="rId174" Type="http://schemas.openxmlformats.org/officeDocument/2006/relationships/hyperlink" Target="https://my.zakupivli.pro/remote/dispatcher/state_purchase_view/66476582" TargetMode="External"/><Relationship Id="rId381" Type="http://schemas.openxmlformats.org/officeDocument/2006/relationships/hyperlink" Target="https://my.zakupivli.pro/remote/dispatcher/state_purchase_view/63232505" TargetMode="External"/><Relationship Id="rId602" Type="http://schemas.openxmlformats.org/officeDocument/2006/relationships/hyperlink" Target="https://my.zakupivli.pro/remote/dispatcher/state_purchase_view/60318843" TargetMode="External"/><Relationship Id="rId241" Type="http://schemas.openxmlformats.org/officeDocument/2006/relationships/hyperlink" Target="https://my.zakupivli.pro/remote/dispatcher/state_purchase_view/65885944" TargetMode="External"/><Relationship Id="rId479" Type="http://schemas.openxmlformats.org/officeDocument/2006/relationships/hyperlink" Target="https://my.zakupivli.pro/remote/dispatcher/state_purchase_view/61930011" TargetMode="External"/><Relationship Id="rId686" Type="http://schemas.openxmlformats.org/officeDocument/2006/relationships/hyperlink" Target="https://my.zakupivli.pro/remote/dispatcher/state_purchase_view/59040720" TargetMode="External"/><Relationship Id="rId893" Type="http://schemas.openxmlformats.org/officeDocument/2006/relationships/hyperlink" Target="https://my.zakupivli.pro/remote/dispatcher/state_purchase_view/56654990" TargetMode="External"/><Relationship Id="rId907" Type="http://schemas.openxmlformats.org/officeDocument/2006/relationships/hyperlink" Target="https://my.zakupivli.pro/remote/dispatcher/state_purchase_view/56546951" TargetMode="External"/><Relationship Id="rId36" Type="http://schemas.openxmlformats.org/officeDocument/2006/relationships/hyperlink" Target="https://my.zakupivli.pro/remote/dispatcher/state_purchase_view/68303792" TargetMode="External"/><Relationship Id="rId339" Type="http://schemas.openxmlformats.org/officeDocument/2006/relationships/hyperlink" Target="https://my.zakupivli.pro/remote/dispatcher/state_purchase_view/64607376" TargetMode="External"/><Relationship Id="rId546" Type="http://schemas.openxmlformats.org/officeDocument/2006/relationships/hyperlink" Target="https://my.zakupivli.pro/remote/dispatcher/state_purchase_view/61089488" TargetMode="External"/><Relationship Id="rId753" Type="http://schemas.openxmlformats.org/officeDocument/2006/relationships/hyperlink" Target="https://my.zakupivli.pro/remote/dispatcher/state_purchase_view/58167175" TargetMode="External"/><Relationship Id="rId101" Type="http://schemas.openxmlformats.org/officeDocument/2006/relationships/hyperlink" Target="https://my.zakupivli.pro/remote/dispatcher/state_purchase_view/67371072" TargetMode="External"/><Relationship Id="rId185" Type="http://schemas.openxmlformats.org/officeDocument/2006/relationships/hyperlink" Target="https://my.zakupivli.pro/remote/dispatcher/state_purchase_view/66392985" TargetMode="External"/><Relationship Id="rId406" Type="http://schemas.openxmlformats.org/officeDocument/2006/relationships/hyperlink" Target="https://my.zakupivli.pro/remote/dispatcher/state_purchase_view/62844833" TargetMode="External"/><Relationship Id="rId960" Type="http://schemas.openxmlformats.org/officeDocument/2006/relationships/hyperlink" Target="https://my.zakupivli.pro/remote/dispatcher/state_purchase_view/56300815" TargetMode="External"/><Relationship Id="rId392" Type="http://schemas.openxmlformats.org/officeDocument/2006/relationships/hyperlink" Target="https://my.zakupivli.pro/remote/dispatcher/state_purchase_view/63070592" TargetMode="External"/><Relationship Id="rId613" Type="http://schemas.openxmlformats.org/officeDocument/2006/relationships/hyperlink" Target="https://my.zakupivli.pro/remote/dispatcher/state_purchase_view/60216194" TargetMode="External"/><Relationship Id="rId697" Type="http://schemas.openxmlformats.org/officeDocument/2006/relationships/hyperlink" Target="https://my.zakupivli.pro/remote/dispatcher/state_purchase_view/58892435" TargetMode="External"/><Relationship Id="rId820" Type="http://schemas.openxmlformats.org/officeDocument/2006/relationships/hyperlink" Target="https://my.zakupivli.pro/remote/dispatcher/state_purchase_view/57394097" TargetMode="External"/><Relationship Id="rId918" Type="http://schemas.openxmlformats.org/officeDocument/2006/relationships/hyperlink" Target="https://my.zakupivli.pro/remote/dispatcher/state_purchase_view/56512858" TargetMode="External"/><Relationship Id="rId252" Type="http://schemas.openxmlformats.org/officeDocument/2006/relationships/hyperlink" Target="https://my.zakupivli.pro/remote/dispatcher/state_purchase_view/65845407" TargetMode="External"/><Relationship Id="rId47" Type="http://schemas.openxmlformats.org/officeDocument/2006/relationships/hyperlink" Target="https://my.zakupivli.pro/remote/dispatcher/state_purchase_view/68202470" TargetMode="External"/><Relationship Id="rId112" Type="http://schemas.openxmlformats.org/officeDocument/2006/relationships/hyperlink" Target="https://my.zakupivli.pro/remote/dispatcher/state_purchase_view/67239756" TargetMode="External"/><Relationship Id="rId557" Type="http://schemas.openxmlformats.org/officeDocument/2006/relationships/hyperlink" Target="https://my.zakupivli.pro/remote/dispatcher/state_purchase_view/60854027" TargetMode="External"/><Relationship Id="rId764" Type="http://schemas.openxmlformats.org/officeDocument/2006/relationships/hyperlink" Target="https://my.zakupivli.pro/remote/dispatcher/state_purchase_view/58074248" TargetMode="External"/><Relationship Id="rId971" Type="http://schemas.openxmlformats.org/officeDocument/2006/relationships/hyperlink" Target="https://my.zakupivli.pro/remote/dispatcher/state_purchase_view/56148543" TargetMode="External"/><Relationship Id="rId196" Type="http://schemas.openxmlformats.org/officeDocument/2006/relationships/hyperlink" Target="https://my.zakupivli.pro/remote/dispatcher/state_purchase_view/66234874" TargetMode="External"/><Relationship Id="rId417" Type="http://schemas.openxmlformats.org/officeDocument/2006/relationships/hyperlink" Target="https://my.zakupivli.pro/remote/dispatcher/state_purchase_view/62573453" TargetMode="External"/><Relationship Id="rId624" Type="http://schemas.openxmlformats.org/officeDocument/2006/relationships/hyperlink" Target="https://my.zakupivli.pro/remote/dispatcher/state_purchase_view/60198813" TargetMode="External"/><Relationship Id="rId831" Type="http://schemas.openxmlformats.org/officeDocument/2006/relationships/hyperlink" Target="https://my.zakupivli.pro/remote/dispatcher/state_purchase_view/57269953" TargetMode="External"/><Relationship Id="rId263" Type="http://schemas.openxmlformats.org/officeDocument/2006/relationships/hyperlink" Target="https://my.zakupivli.pro/remote/dispatcher/state_purchase_view/65683080" TargetMode="External"/><Relationship Id="rId470" Type="http://schemas.openxmlformats.org/officeDocument/2006/relationships/hyperlink" Target="https://my.zakupivli.pro/remote/dispatcher/state_purchase_view/61963720" TargetMode="External"/><Relationship Id="rId929" Type="http://schemas.openxmlformats.org/officeDocument/2006/relationships/hyperlink" Target="https://my.zakupivli.pro/remote/dispatcher/state_purchase_view/56434719" TargetMode="External"/><Relationship Id="rId58" Type="http://schemas.openxmlformats.org/officeDocument/2006/relationships/hyperlink" Target="https://my.zakupivli.pro/remote/dispatcher/state_purchase_view/68002506" TargetMode="External"/><Relationship Id="rId123" Type="http://schemas.openxmlformats.org/officeDocument/2006/relationships/hyperlink" Target="https://my.zakupivli.pro/remote/dispatcher/state_purchase_view/67110983" TargetMode="External"/><Relationship Id="rId330" Type="http://schemas.openxmlformats.org/officeDocument/2006/relationships/hyperlink" Target="https://my.zakupivli.pro/remote/dispatcher/state_purchase_view/64855459" TargetMode="External"/><Relationship Id="rId568" Type="http://schemas.openxmlformats.org/officeDocument/2006/relationships/hyperlink" Target="https://my.zakupivli.pro/remote/dispatcher/state_purchase_view/60700036" TargetMode="External"/><Relationship Id="rId775" Type="http://schemas.openxmlformats.org/officeDocument/2006/relationships/hyperlink" Target="https://my.zakupivli.pro/remote/dispatcher/state_purchase_view/57858229" TargetMode="External"/><Relationship Id="rId982" Type="http://schemas.openxmlformats.org/officeDocument/2006/relationships/hyperlink" Target="https://my.zakupivli.pro/remote/dispatcher/state_purchase_view/55622300" TargetMode="External"/><Relationship Id="rId428" Type="http://schemas.openxmlformats.org/officeDocument/2006/relationships/hyperlink" Target="https://my.zakupivli.pro/remote/dispatcher/state_purchase_view/62469166" TargetMode="External"/><Relationship Id="rId635" Type="http://schemas.openxmlformats.org/officeDocument/2006/relationships/hyperlink" Target="https://my.zakupivli.pro/remote/dispatcher/state_purchase_view/60062842" TargetMode="External"/><Relationship Id="rId842" Type="http://schemas.openxmlformats.org/officeDocument/2006/relationships/hyperlink" Target="https://my.zakupivli.pro/remote/dispatcher/state_purchase_view/57097912" TargetMode="External"/><Relationship Id="rId274" Type="http://schemas.openxmlformats.org/officeDocument/2006/relationships/hyperlink" Target="https://my.zakupivli.pro/remote/dispatcher/state_purchase_view/65551651" TargetMode="External"/><Relationship Id="rId481" Type="http://schemas.openxmlformats.org/officeDocument/2006/relationships/hyperlink" Target="https://my.zakupivli.pro/remote/dispatcher/state_purchase_view/61928879" TargetMode="External"/><Relationship Id="rId702" Type="http://schemas.openxmlformats.org/officeDocument/2006/relationships/hyperlink" Target="https://my.zakupivli.pro/remote/dispatcher/state_purchase_view/58874617" TargetMode="External"/><Relationship Id="rId69" Type="http://schemas.openxmlformats.org/officeDocument/2006/relationships/hyperlink" Target="https://my.zakupivli.pro/remote/dispatcher/state_purchase_view/67848395" TargetMode="External"/><Relationship Id="rId134" Type="http://schemas.openxmlformats.org/officeDocument/2006/relationships/hyperlink" Target="https://my.zakupivli.pro/remote/dispatcher/state_purchase_view/67008108" TargetMode="External"/><Relationship Id="rId579" Type="http://schemas.openxmlformats.org/officeDocument/2006/relationships/hyperlink" Target="https://my.zakupivli.pro/remote/dispatcher/state_purchase_view/60564362" TargetMode="External"/><Relationship Id="rId786" Type="http://schemas.openxmlformats.org/officeDocument/2006/relationships/hyperlink" Target="https://my.zakupivli.pro/remote/dispatcher/state_purchase_view/57698276" TargetMode="External"/><Relationship Id="rId993" Type="http://schemas.openxmlformats.org/officeDocument/2006/relationships/hyperlink" Target="https://my.zakupivli.pro/remote/dispatcher/state_purchase_view/55353204" TargetMode="External"/><Relationship Id="rId341" Type="http://schemas.openxmlformats.org/officeDocument/2006/relationships/hyperlink" Target="https://my.zakupivli.pro/remote/dispatcher/state_purchase_view/64518123" TargetMode="External"/><Relationship Id="rId439" Type="http://schemas.openxmlformats.org/officeDocument/2006/relationships/hyperlink" Target="https://my.zakupivli.pro/remote/dispatcher/state_purchase_view/62341966" TargetMode="External"/><Relationship Id="rId646" Type="http://schemas.openxmlformats.org/officeDocument/2006/relationships/hyperlink" Target="https://my.zakupivli.pro/remote/dispatcher/state_purchase_view/59880370" TargetMode="External"/><Relationship Id="rId201" Type="http://schemas.openxmlformats.org/officeDocument/2006/relationships/hyperlink" Target="https://my.zakupivli.pro/remote/dispatcher/state_purchase_view/66182866" TargetMode="External"/><Relationship Id="rId285" Type="http://schemas.openxmlformats.org/officeDocument/2006/relationships/hyperlink" Target="https://my.zakupivli.pro/remote/dispatcher/state_purchase_view/65463877" TargetMode="External"/><Relationship Id="rId506" Type="http://schemas.openxmlformats.org/officeDocument/2006/relationships/hyperlink" Target="https://my.zakupivli.pro/remote/dispatcher/state_purchase_view/61563380" TargetMode="External"/><Relationship Id="rId853" Type="http://schemas.openxmlformats.org/officeDocument/2006/relationships/hyperlink" Target="https://my.zakupivli.pro/remote/dispatcher/state_purchase_view/56934337" TargetMode="External"/><Relationship Id="rId492" Type="http://schemas.openxmlformats.org/officeDocument/2006/relationships/hyperlink" Target="https://my.zakupivli.pro/remote/dispatcher/state_purchase_view/61724614" TargetMode="External"/><Relationship Id="rId713" Type="http://schemas.openxmlformats.org/officeDocument/2006/relationships/hyperlink" Target="https://my.zakupivli.pro/remote/dispatcher/state_purchase_view/58692191" TargetMode="External"/><Relationship Id="rId797" Type="http://schemas.openxmlformats.org/officeDocument/2006/relationships/hyperlink" Target="https://my.zakupivli.pro/remote/dispatcher/state_purchase_view/57639185" TargetMode="External"/><Relationship Id="rId920" Type="http://schemas.openxmlformats.org/officeDocument/2006/relationships/hyperlink" Target="https://my.zakupivli.pro/remote/dispatcher/state_purchase_view/56459602" TargetMode="External"/><Relationship Id="rId145" Type="http://schemas.openxmlformats.org/officeDocument/2006/relationships/hyperlink" Target="https://my.zakupivli.pro/remote/dispatcher/state_purchase_view/66995797" TargetMode="External"/><Relationship Id="rId352" Type="http://schemas.openxmlformats.org/officeDocument/2006/relationships/hyperlink" Target="https://my.zakupivli.pro/remote/dispatcher/state_purchase_view/64061789" TargetMode="External"/><Relationship Id="rId212" Type="http://schemas.openxmlformats.org/officeDocument/2006/relationships/hyperlink" Target="https://my.zakupivli.pro/remote/dispatcher/state_purchase_view/66077711" TargetMode="External"/><Relationship Id="rId657" Type="http://schemas.openxmlformats.org/officeDocument/2006/relationships/hyperlink" Target="https://my.zakupivli.pro/remote/dispatcher/state_purchase_view/59585535" TargetMode="External"/><Relationship Id="rId864" Type="http://schemas.openxmlformats.org/officeDocument/2006/relationships/hyperlink" Target="https://my.zakupivli.pro/remote/dispatcher/state_purchase_view/56828269" TargetMode="External"/><Relationship Id="rId296" Type="http://schemas.openxmlformats.org/officeDocument/2006/relationships/hyperlink" Target="https://my.zakupivli.pro/remote/dispatcher/state_purchase_view/65254209" TargetMode="External"/><Relationship Id="rId517" Type="http://schemas.openxmlformats.org/officeDocument/2006/relationships/hyperlink" Target="https://my.zakupivli.pro/remote/dispatcher/state_purchase_view/61357503" TargetMode="External"/><Relationship Id="rId724" Type="http://schemas.openxmlformats.org/officeDocument/2006/relationships/hyperlink" Target="https://my.zakupivli.pro/remote/dispatcher/state_purchase_view/58562001" TargetMode="External"/><Relationship Id="rId931" Type="http://schemas.openxmlformats.org/officeDocument/2006/relationships/hyperlink" Target="https://my.zakupivli.pro/remote/dispatcher/state_purchase_view/56433745" TargetMode="External"/><Relationship Id="rId60" Type="http://schemas.openxmlformats.org/officeDocument/2006/relationships/hyperlink" Target="https://my.zakupivli.pro/remote/dispatcher/state_purchase_view/67941404" TargetMode="External"/><Relationship Id="rId156" Type="http://schemas.openxmlformats.org/officeDocument/2006/relationships/hyperlink" Target="https://my.zakupivli.pro/remote/dispatcher/state_purchase_view/66735787" TargetMode="External"/><Relationship Id="rId363" Type="http://schemas.openxmlformats.org/officeDocument/2006/relationships/hyperlink" Target="https://my.zakupivli.pro/remote/dispatcher/state_purchase_view/63613948" TargetMode="External"/><Relationship Id="rId570" Type="http://schemas.openxmlformats.org/officeDocument/2006/relationships/hyperlink" Target="https://my.zakupivli.pro/remote/dispatcher/state_purchase_view/60697445" TargetMode="External"/><Relationship Id="rId223" Type="http://schemas.openxmlformats.org/officeDocument/2006/relationships/hyperlink" Target="https://my.zakupivli.pro/remote/dispatcher/state_purchase_view/65933998" TargetMode="External"/><Relationship Id="rId430" Type="http://schemas.openxmlformats.org/officeDocument/2006/relationships/hyperlink" Target="https://my.zakupivli.pro/remote/dispatcher/state_purchase_view/62459324" TargetMode="External"/><Relationship Id="rId668" Type="http://schemas.openxmlformats.org/officeDocument/2006/relationships/hyperlink" Target="https://my.zakupivli.pro/remote/dispatcher/state_purchase_view/59341175" TargetMode="External"/><Relationship Id="rId875" Type="http://schemas.openxmlformats.org/officeDocument/2006/relationships/hyperlink" Target="https://my.zakupivli.pro/remote/dispatcher/state_purchase_view/56739252" TargetMode="External"/><Relationship Id="rId18" Type="http://schemas.openxmlformats.org/officeDocument/2006/relationships/hyperlink" Target="https://my.zakupivli.pro/remote/dispatcher/state_purchase_view/68469461" TargetMode="External"/><Relationship Id="rId528" Type="http://schemas.openxmlformats.org/officeDocument/2006/relationships/hyperlink" Target="https://my.zakupivli.pro/remote/dispatcher/state_purchase_view/61237187" TargetMode="External"/><Relationship Id="rId735" Type="http://schemas.openxmlformats.org/officeDocument/2006/relationships/hyperlink" Target="https://my.zakupivli.pro/remote/dispatcher/state_purchase_view/58405770" TargetMode="External"/><Relationship Id="rId942" Type="http://schemas.openxmlformats.org/officeDocument/2006/relationships/hyperlink" Target="https://my.zakupivli.pro/remote/dispatcher/state_purchase_view/56400999" TargetMode="External"/><Relationship Id="rId167" Type="http://schemas.openxmlformats.org/officeDocument/2006/relationships/hyperlink" Target="https://my.zakupivli.pro/remote/dispatcher/state_purchase_view/66531088" TargetMode="External"/><Relationship Id="rId374" Type="http://schemas.openxmlformats.org/officeDocument/2006/relationships/hyperlink" Target="https://my.zakupivli.pro/remote/dispatcher/state_purchase_view/63273489" TargetMode="External"/><Relationship Id="rId581" Type="http://schemas.openxmlformats.org/officeDocument/2006/relationships/hyperlink" Target="https://my.zakupivli.pro/remote/dispatcher/state_purchase_view/60561423" TargetMode="External"/><Relationship Id="rId71" Type="http://schemas.openxmlformats.org/officeDocument/2006/relationships/hyperlink" Target="https://my.zakupivli.pro/remote/dispatcher/state_purchase_view/67792864" TargetMode="External"/><Relationship Id="rId234" Type="http://schemas.openxmlformats.org/officeDocument/2006/relationships/hyperlink" Target="https://my.zakupivli.pro/remote/dispatcher/state_purchase_view/65919660" TargetMode="External"/><Relationship Id="rId679" Type="http://schemas.openxmlformats.org/officeDocument/2006/relationships/hyperlink" Target="https://my.zakupivli.pro/remote/dispatcher/state_purchase_view/59056014" TargetMode="External"/><Relationship Id="rId802" Type="http://schemas.openxmlformats.org/officeDocument/2006/relationships/hyperlink" Target="https://my.zakupivli.pro/remote/dispatcher/state_purchase_view/57606358" TargetMode="External"/><Relationship Id="rId886" Type="http://schemas.openxmlformats.org/officeDocument/2006/relationships/hyperlink" Target="https://my.zakupivli.pro/remote/dispatcher/state_purchase_view/56696825" TargetMode="External"/><Relationship Id="rId2" Type="http://schemas.openxmlformats.org/officeDocument/2006/relationships/hyperlink" Target="https://my.zakupivli.pro/remote/dispatcher/state_purchase_view/68557162" TargetMode="External"/><Relationship Id="rId29" Type="http://schemas.openxmlformats.org/officeDocument/2006/relationships/hyperlink" Target="https://my.zakupivli.pro/remote/dispatcher/state_purchase_view/68344891" TargetMode="External"/><Relationship Id="rId441" Type="http://schemas.openxmlformats.org/officeDocument/2006/relationships/hyperlink" Target="https://my.zakupivli.pro/remote/dispatcher/state_purchase_view/62339365" TargetMode="External"/><Relationship Id="rId539" Type="http://schemas.openxmlformats.org/officeDocument/2006/relationships/hyperlink" Target="https://my.zakupivli.pro/remote/dispatcher/state_purchase_view/61156510" TargetMode="External"/><Relationship Id="rId746" Type="http://schemas.openxmlformats.org/officeDocument/2006/relationships/hyperlink" Target="https://my.zakupivli.pro/remote/dispatcher/state_purchase_view/58266885" TargetMode="External"/><Relationship Id="rId178" Type="http://schemas.openxmlformats.org/officeDocument/2006/relationships/hyperlink" Target="https://my.zakupivli.pro/remote/dispatcher/state_purchase_view/66471945" TargetMode="External"/><Relationship Id="rId301" Type="http://schemas.openxmlformats.org/officeDocument/2006/relationships/hyperlink" Target="https://my.zakupivli.pro/remote/dispatcher/state_purchase_view/65156372" TargetMode="External"/><Relationship Id="rId953" Type="http://schemas.openxmlformats.org/officeDocument/2006/relationships/hyperlink" Target="https://my.zakupivli.pro/remote/dispatcher/state_purchase_view/56375711" TargetMode="External"/><Relationship Id="rId82" Type="http://schemas.openxmlformats.org/officeDocument/2006/relationships/hyperlink" Target="https://my.zakupivli.pro/remote/dispatcher/state_purchase_view/67651243" TargetMode="External"/><Relationship Id="rId385" Type="http://schemas.openxmlformats.org/officeDocument/2006/relationships/hyperlink" Target="https://my.zakupivli.pro/remote/dispatcher/state_purchase_view/63109785" TargetMode="External"/><Relationship Id="rId592" Type="http://schemas.openxmlformats.org/officeDocument/2006/relationships/hyperlink" Target="https://my.zakupivli.pro/remote/dispatcher/state_purchase_view/60430053" TargetMode="External"/><Relationship Id="rId606" Type="http://schemas.openxmlformats.org/officeDocument/2006/relationships/hyperlink" Target="https://my.zakupivli.pro/remote/dispatcher/state_purchase_view/60282344" TargetMode="External"/><Relationship Id="rId813" Type="http://schemas.openxmlformats.org/officeDocument/2006/relationships/hyperlink" Target="https://my.zakupivli.pro/remote/dispatcher/state_purchase_view/57460308" TargetMode="External"/><Relationship Id="rId245" Type="http://schemas.openxmlformats.org/officeDocument/2006/relationships/hyperlink" Target="https://my.zakupivli.pro/remote/dispatcher/state_purchase_view/65883799" TargetMode="External"/><Relationship Id="rId452" Type="http://schemas.openxmlformats.org/officeDocument/2006/relationships/hyperlink" Target="https://my.zakupivli.pro/remote/dispatcher/state_purchase_view/62118896" TargetMode="External"/><Relationship Id="rId897" Type="http://schemas.openxmlformats.org/officeDocument/2006/relationships/hyperlink" Target="https://my.zakupivli.pro/remote/dispatcher/state_purchase_view/56618329" TargetMode="External"/><Relationship Id="rId105" Type="http://schemas.openxmlformats.org/officeDocument/2006/relationships/hyperlink" Target="https://my.zakupivli.pro/remote/dispatcher/state_purchase_view/67338573" TargetMode="External"/><Relationship Id="rId312" Type="http://schemas.openxmlformats.org/officeDocument/2006/relationships/hyperlink" Target="https://my.zakupivli.pro/remote/dispatcher/state_purchase_view/65126230" TargetMode="External"/><Relationship Id="rId757" Type="http://schemas.openxmlformats.org/officeDocument/2006/relationships/hyperlink" Target="https://my.zakupivli.pro/remote/dispatcher/state_purchase_view/58156223" TargetMode="External"/><Relationship Id="rId964" Type="http://schemas.openxmlformats.org/officeDocument/2006/relationships/hyperlink" Target="https://my.zakupivli.pro/remote/dispatcher/state_purchase_view/56282275" TargetMode="External"/><Relationship Id="rId93" Type="http://schemas.openxmlformats.org/officeDocument/2006/relationships/hyperlink" Target="https://my.zakupivli.pro/remote/dispatcher/state_purchase_view/67473812" TargetMode="External"/><Relationship Id="rId189" Type="http://schemas.openxmlformats.org/officeDocument/2006/relationships/hyperlink" Target="https://my.zakupivli.pro/remote/dispatcher/state_purchase_view/66356685" TargetMode="External"/><Relationship Id="rId396" Type="http://schemas.openxmlformats.org/officeDocument/2006/relationships/hyperlink" Target="https://my.zakupivli.pro/remote/dispatcher/state_purchase_view/63011546" TargetMode="External"/><Relationship Id="rId617" Type="http://schemas.openxmlformats.org/officeDocument/2006/relationships/hyperlink" Target="https://my.zakupivli.pro/remote/dispatcher/state_purchase_view/60211435" TargetMode="External"/><Relationship Id="rId824" Type="http://schemas.openxmlformats.org/officeDocument/2006/relationships/hyperlink" Target="https://my.zakupivli.pro/remote/dispatcher/state_purchase_view/57377133" TargetMode="External"/><Relationship Id="rId256" Type="http://schemas.openxmlformats.org/officeDocument/2006/relationships/hyperlink" Target="https://my.zakupivli.pro/remote/dispatcher/state_purchase_view/65829540" TargetMode="External"/><Relationship Id="rId463" Type="http://schemas.openxmlformats.org/officeDocument/2006/relationships/hyperlink" Target="https://my.zakupivli.pro/remote/dispatcher/state_purchase_view/62081650" TargetMode="External"/><Relationship Id="rId670" Type="http://schemas.openxmlformats.org/officeDocument/2006/relationships/hyperlink" Target="https://my.zakupivli.pro/remote/dispatcher/state_purchase_view/59297315" TargetMode="External"/><Relationship Id="rId116" Type="http://schemas.openxmlformats.org/officeDocument/2006/relationships/hyperlink" Target="https://my.zakupivli.pro/remote/dispatcher/state_purchase_view/67196975" TargetMode="External"/><Relationship Id="rId323" Type="http://schemas.openxmlformats.org/officeDocument/2006/relationships/hyperlink" Target="https://my.zakupivli.pro/remote/dispatcher/state_purchase_view/65041085" TargetMode="External"/><Relationship Id="rId530" Type="http://schemas.openxmlformats.org/officeDocument/2006/relationships/hyperlink" Target="https://my.zakupivli.pro/remote/dispatcher/state_purchase_view/61213257" TargetMode="External"/><Relationship Id="rId768" Type="http://schemas.openxmlformats.org/officeDocument/2006/relationships/hyperlink" Target="https://my.zakupivli.pro/remote/dispatcher/state_purchase_view/58009820" TargetMode="External"/><Relationship Id="rId975" Type="http://schemas.openxmlformats.org/officeDocument/2006/relationships/hyperlink" Target="https://my.zakupivli.pro/remote/dispatcher/state_purchase_view/55897185" TargetMode="External"/><Relationship Id="rId20" Type="http://schemas.openxmlformats.org/officeDocument/2006/relationships/hyperlink" Target="https://my.zakupivli.pro/remote/dispatcher/state_purchase_view/68420182" TargetMode="External"/><Relationship Id="rId628" Type="http://schemas.openxmlformats.org/officeDocument/2006/relationships/hyperlink" Target="https://my.zakupivli.pro/remote/dispatcher/state_purchase_view/60198409" TargetMode="External"/><Relationship Id="rId835" Type="http://schemas.openxmlformats.org/officeDocument/2006/relationships/hyperlink" Target="https://my.zakupivli.pro/remote/dispatcher/state_purchase_view/57205143" TargetMode="External"/><Relationship Id="rId267" Type="http://schemas.openxmlformats.org/officeDocument/2006/relationships/hyperlink" Target="https://my.zakupivli.pro/remote/dispatcher/state_purchase_view/65646322" TargetMode="External"/><Relationship Id="rId474" Type="http://schemas.openxmlformats.org/officeDocument/2006/relationships/hyperlink" Target="https://my.zakupivli.pro/remote/dispatcher/state_purchase_view/61934844" TargetMode="External"/><Relationship Id="rId127" Type="http://schemas.openxmlformats.org/officeDocument/2006/relationships/hyperlink" Target="https://my.zakupivli.pro/remote/dispatcher/state_purchase_view/67048454" TargetMode="External"/><Relationship Id="rId681" Type="http://schemas.openxmlformats.org/officeDocument/2006/relationships/hyperlink" Target="https://my.zakupivli.pro/remote/dispatcher/state_purchase_view/59052424" TargetMode="External"/><Relationship Id="rId779" Type="http://schemas.openxmlformats.org/officeDocument/2006/relationships/hyperlink" Target="https://my.zakupivli.pro/remote/dispatcher/state_purchase_view/57826755" TargetMode="External"/><Relationship Id="rId902" Type="http://schemas.openxmlformats.org/officeDocument/2006/relationships/hyperlink" Target="https://my.zakupivli.pro/remote/dispatcher/state_purchase_view/56610625" TargetMode="External"/><Relationship Id="rId986" Type="http://schemas.openxmlformats.org/officeDocument/2006/relationships/hyperlink" Target="https://my.zakupivli.pro/remote/dispatcher/state_purchase_view/55617780" TargetMode="External"/><Relationship Id="rId31" Type="http://schemas.openxmlformats.org/officeDocument/2006/relationships/hyperlink" Target="https://my.zakupivli.pro/remote/dispatcher/state_purchase_view/68339748" TargetMode="External"/><Relationship Id="rId334" Type="http://schemas.openxmlformats.org/officeDocument/2006/relationships/hyperlink" Target="https://my.zakupivli.pro/remote/dispatcher/state_purchase_view/64783927" TargetMode="External"/><Relationship Id="rId541" Type="http://schemas.openxmlformats.org/officeDocument/2006/relationships/hyperlink" Target="https://my.zakupivli.pro/remote/dispatcher/state_purchase_view/61102695" TargetMode="External"/><Relationship Id="rId639" Type="http://schemas.openxmlformats.org/officeDocument/2006/relationships/hyperlink" Target="https://my.zakupivli.pro/remote/dispatcher/state_purchase_view/59991370" TargetMode="External"/><Relationship Id="rId180" Type="http://schemas.openxmlformats.org/officeDocument/2006/relationships/hyperlink" Target="https://my.zakupivli.pro/remote/dispatcher/state_purchase_view/66426719" TargetMode="External"/><Relationship Id="rId278" Type="http://schemas.openxmlformats.org/officeDocument/2006/relationships/hyperlink" Target="https://my.zakupivli.pro/remote/dispatcher/state_purchase_view/65530021" TargetMode="External"/><Relationship Id="rId401" Type="http://schemas.openxmlformats.org/officeDocument/2006/relationships/hyperlink" Target="https://my.zakupivli.pro/remote/dispatcher/state_purchase_view/62952526" TargetMode="External"/><Relationship Id="rId846" Type="http://schemas.openxmlformats.org/officeDocument/2006/relationships/hyperlink" Target="https://my.zakupivli.pro/remote/dispatcher/state_purchase_view/57004262" TargetMode="External"/><Relationship Id="rId485" Type="http://schemas.openxmlformats.org/officeDocument/2006/relationships/hyperlink" Target="https://my.zakupivli.pro/remote/dispatcher/state_purchase_view/61770504" TargetMode="External"/><Relationship Id="rId692" Type="http://schemas.openxmlformats.org/officeDocument/2006/relationships/hyperlink" Target="https://my.zakupivli.pro/remote/dispatcher/state_purchase_view/58931476" TargetMode="External"/><Relationship Id="rId706" Type="http://schemas.openxmlformats.org/officeDocument/2006/relationships/hyperlink" Target="https://my.zakupivli.pro/remote/dispatcher/state_purchase_view/58792764" TargetMode="External"/><Relationship Id="rId913" Type="http://schemas.openxmlformats.org/officeDocument/2006/relationships/hyperlink" Target="https://my.zakupivli.pro/remote/dispatcher/state_purchase_view/56529631" TargetMode="External"/><Relationship Id="rId42" Type="http://schemas.openxmlformats.org/officeDocument/2006/relationships/hyperlink" Target="https://my.zakupivli.pro/remote/dispatcher/state_purchase_view/68208941" TargetMode="External"/><Relationship Id="rId138" Type="http://schemas.openxmlformats.org/officeDocument/2006/relationships/hyperlink" Target="https://my.zakupivli.pro/remote/dispatcher/state_purchase_view/67002951" TargetMode="External"/><Relationship Id="rId345" Type="http://schemas.openxmlformats.org/officeDocument/2006/relationships/hyperlink" Target="https://my.zakupivli.pro/remote/dispatcher/state_purchase_view/64316939" TargetMode="External"/><Relationship Id="rId552" Type="http://schemas.openxmlformats.org/officeDocument/2006/relationships/hyperlink" Target="https://my.zakupivli.pro/remote/dispatcher/state_purchase_view/60991515" TargetMode="External"/><Relationship Id="rId997" Type="http://schemas.openxmlformats.org/officeDocument/2006/relationships/hyperlink" Target="https://my.zakupivli.pro/remote/dispatcher/state_purchase_view/55255035" TargetMode="External"/><Relationship Id="rId191" Type="http://schemas.openxmlformats.org/officeDocument/2006/relationships/hyperlink" Target="https://my.zakupivli.pro/remote/dispatcher/state_purchase_view/66281253" TargetMode="External"/><Relationship Id="rId205" Type="http://schemas.openxmlformats.org/officeDocument/2006/relationships/hyperlink" Target="https://my.zakupivli.pro/remote/dispatcher/state_purchase_view/66136247" TargetMode="External"/><Relationship Id="rId412" Type="http://schemas.openxmlformats.org/officeDocument/2006/relationships/hyperlink" Target="https://my.zakupivli.pro/remote/dispatcher/state_purchase_view/62668130" TargetMode="External"/><Relationship Id="rId857" Type="http://schemas.openxmlformats.org/officeDocument/2006/relationships/hyperlink" Target="https://my.zakupivli.pro/remote/dispatcher/state_purchase_view/56838169" TargetMode="External"/><Relationship Id="rId289" Type="http://schemas.openxmlformats.org/officeDocument/2006/relationships/hyperlink" Target="https://my.zakupivli.pro/remote/dispatcher/state_purchase_view/65395925" TargetMode="External"/><Relationship Id="rId496" Type="http://schemas.openxmlformats.org/officeDocument/2006/relationships/hyperlink" Target="https://my.zakupivli.pro/remote/dispatcher/state_purchase_view/61690764" TargetMode="External"/><Relationship Id="rId717" Type="http://schemas.openxmlformats.org/officeDocument/2006/relationships/hyperlink" Target="https://my.zakupivli.pro/remote/dispatcher/state_purchase_view/58660832" TargetMode="External"/><Relationship Id="rId924" Type="http://schemas.openxmlformats.org/officeDocument/2006/relationships/hyperlink" Target="https://my.zakupivli.pro/remote/dispatcher/state_purchase_view/56453333" TargetMode="External"/><Relationship Id="rId53" Type="http://schemas.openxmlformats.org/officeDocument/2006/relationships/hyperlink" Target="https://my.zakupivli.pro/remote/dispatcher/state_purchase_view/68009438" TargetMode="External"/><Relationship Id="rId149" Type="http://schemas.openxmlformats.org/officeDocument/2006/relationships/hyperlink" Target="https://my.zakupivli.pro/remote/dispatcher/state_purchase_view/66850816" TargetMode="External"/><Relationship Id="rId356" Type="http://schemas.openxmlformats.org/officeDocument/2006/relationships/hyperlink" Target="https://my.zakupivli.pro/remote/dispatcher/state_purchase_view/63843086" TargetMode="External"/><Relationship Id="rId563" Type="http://schemas.openxmlformats.org/officeDocument/2006/relationships/hyperlink" Target="https://my.zakupivli.pro/remote/dispatcher/state_purchase_view/60706349" TargetMode="External"/><Relationship Id="rId770" Type="http://schemas.openxmlformats.org/officeDocument/2006/relationships/hyperlink" Target="https://my.zakupivli.pro/remote/dispatcher/state_purchase_view/57923524" TargetMode="External"/><Relationship Id="rId216" Type="http://schemas.openxmlformats.org/officeDocument/2006/relationships/hyperlink" Target="https://my.zakupivli.pro/remote/dispatcher/state_purchase_view/66054020" TargetMode="External"/><Relationship Id="rId423" Type="http://schemas.openxmlformats.org/officeDocument/2006/relationships/hyperlink" Target="https://my.zakupivli.pro/remote/dispatcher/state_purchase_view/62525980" TargetMode="External"/><Relationship Id="rId868" Type="http://schemas.openxmlformats.org/officeDocument/2006/relationships/hyperlink" Target="https://my.zakupivli.pro/remote/dispatcher/state_purchase_view/56803186" TargetMode="External"/><Relationship Id="rId630" Type="http://schemas.openxmlformats.org/officeDocument/2006/relationships/hyperlink" Target="https://my.zakupivli.pro/remote/dispatcher/state_purchase_view/60125016" TargetMode="External"/><Relationship Id="rId728" Type="http://schemas.openxmlformats.org/officeDocument/2006/relationships/hyperlink" Target="https://my.zakupivli.pro/remote/dispatcher/state_purchase_view/58478921" TargetMode="External"/><Relationship Id="rId935" Type="http://schemas.openxmlformats.org/officeDocument/2006/relationships/hyperlink" Target="https://my.zakupivli.pro/remote/dispatcher/state_purchase_view/56431878" TargetMode="External"/><Relationship Id="rId64" Type="http://schemas.openxmlformats.org/officeDocument/2006/relationships/hyperlink" Target="https://my.zakupivli.pro/remote/dispatcher/state_purchase_view/67852548" TargetMode="External"/><Relationship Id="rId367" Type="http://schemas.openxmlformats.org/officeDocument/2006/relationships/hyperlink" Target="https://my.zakupivli.pro/remote/dispatcher/state_purchase_view/63562309" TargetMode="External"/><Relationship Id="rId574" Type="http://schemas.openxmlformats.org/officeDocument/2006/relationships/hyperlink" Target="https://my.zakupivli.pro/remote/dispatcher/state_purchase_view/60604250" TargetMode="External"/><Relationship Id="rId227" Type="http://schemas.openxmlformats.org/officeDocument/2006/relationships/hyperlink" Target="https://my.zakupivli.pro/remote/dispatcher/state_purchase_view/65924404" TargetMode="External"/><Relationship Id="rId781" Type="http://schemas.openxmlformats.org/officeDocument/2006/relationships/hyperlink" Target="https://my.zakupivli.pro/remote/dispatcher/state_purchase_view/57812806" TargetMode="External"/><Relationship Id="rId879" Type="http://schemas.openxmlformats.org/officeDocument/2006/relationships/hyperlink" Target="https://my.zakupivli.pro/remote/dispatcher/state_purchase_view/56700212" TargetMode="External"/><Relationship Id="rId434" Type="http://schemas.openxmlformats.org/officeDocument/2006/relationships/hyperlink" Target="https://my.zakupivli.pro/remote/dispatcher/state_purchase_view/62449540" TargetMode="External"/><Relationship Id="rId641" Type="http://schemas.openxmlformats.org/officeDocument/2006/relationships/hyperlink" Target="https://my.zakupivli.pro/remote/dispatcher/state_purchase_view/59986296" TargetMode="External"/><Relationship Id="rId739" Type="http://schemas.openxmlformats.org/officeDocument/2006/relationships/hyperlink" Target="https://my.zakupivli.pro/remote/dispatcher/state_purchase_view/58365117" TargetMode="External"/><Relationship Id="rId280" Type="http://schemas.openxmlformats.org/officeDocument/2006/relationships/hyperlink" Target="https://my.zakupivli.pro/remote/dispatcher/state_purchase_view/65527791" TargetMode="External"/><Relationship Id="rId501" Type="http://schemas.openxmlformats.org/officeDocument/2006/relationships/hyperlink" Target="https://my.zakupivli.pro/remote/dispatcher/state_purchase_view/61660778" TargetMode="External"/><Relationship Id="rId946" Type="http://schemas.openxmlformats.org/officeDocument/2006/relationships/hyperlink" Target="https://my.zakupivli.pro/remote/dispatcher/state_purchase_view/56387916" TargetMode="External"/><Relationship Id="rId75" Type="http://schemas.openxmlformats.org/officeDocument/2006/relationships/hyperlink" Target="https://my.zakupivli.pro/remote/dispatcher/state_purchase_view/67722347" TargetMode="External"/><Relationship Id="rId140" Type="http://schemas.openxmlformats.org/officeDocument/2006/relationships/hyperlink" Target="https://my.zakupivli.pro/remote/dispatcher/state_purchase_view/66999838" TargetMode="External"/><Relationship Id="rId378" Type="http://schemas.openxmlformats.org/officeDocument/2006/relationships/hyperlink" Target="https://my.zakupivli.pro/remote/dispatcher/state_purchase_view/63239900" TargetMode="External"/><Relationship Id="rId585" Type="http://schemas.openxmlformats.org/officeDocument/2006/relationships/hyperlink" Target="https://my.zakupivli.pro/remote/dispatcher/state_purchase_view/60541542" TargetMode="External"/><Relationship Id="rId792" Type="http://schemas.openxmlformats.org/officeDocument/2006/relationships/hyperlink" Target="https://my.zakupivli.pro/remote/dispatcher/state_purchase_view/57671645" TargetMode="External"/><Relationship Id="rId806" Type="http://schemas.openxmlformats.org/officeDocument/2006/relationships/hyperlink" Target="https://my.zakupivli.pro/remote/dispatcher/state_purchase_view/57574828" TargetMode="External"/><Relationship Id="rId6" Type="http://schemas.openxmlformats.org/officeDocument/2006/relationships/hyperlink" Target="https://my.zakupivli.pro/remote/dispatcher/state_purchase_view/68533015" TargetMode="External"/><Relationship Id="rId238" Type="http://schemas.openxmlformats.org/officeDocument/2006/relationships/hyperlink" Target="https://my.zakupivli.pro/remote/dispatcher/state_purchase_view/65887355" TargetMode="External"/><Relationship Id="rId445" Type="http://schemas.openxmlformats.org/officeDocument/2006/relationships/hyperlink" Target="https://my.zakupivli.pro/remote/dispatcher/state_purchase_view/62177982" TargetMode="External"/><Relationship Id="rId652" Type="http://schemas.openxmlformats.org/officeDocument/2006/relationships/hyperlink" Target="https://my.zakupivli.pro/remote/dispatcher/state_purchase_view/59790109" TargetMode="External"/><Relationship Id="rId291" Type="http://schemas.openxmlformats.org/officeDocument/2006/relationships/hyperlink" Target="https://my.zakupivli.pro/remote/dispatcher/state_purchase_view/65293851" TargetMode="External"/><Relationship Id="rId305" Type="http://schemas.openxmlformats.org/officeDocument/2006/relationships/hyperlink" Target="https://my.zakupivli.pro/remote/dispatcher/state_purchase_view/65141758" TargetMode="External"/><Relationship Id="rId512" Type="http://schemas.openxmlformats.org/officeDocument/2006/relationships/hyperlink" Target="https://my.zakupivli.pro/remote/dispatcher/state_purchase_view/61460766" TargetMode="External"/><Relationship Id="rId957" Type="http://schemas.openxmlformats.org/officeDocument/2006/relationships/hyperlink" Target="https://my.zakupivli.pro/remote/dispatcher/state_purchase_view/56374145" TargetMode="External"/><Relationship Id="rId86" Type="http://schemas.openxmlformats.org/officeDocument/2006/relationships/hyperlink" Target="https://my.zakupivli.pro/remote/dispatcher/state_purchase_view/67591034" TargetMode="External"/><Relationship Id="rId151" Type="http://schemas.openxmlformats.org/officeDocument/2006/relationships/hyperlink" Target="https://my.zakupivli.pro/remote/dispatcher/state_purchase_view/66837857" TargetMode="External"/><Relationship Id="rId389" Type="http://schemas.openxmlformats.org/officeDocument/2006/relationships/hyperlink" Target="https://my.zakupivli.pro/remote/dispatcher/state_purchase_view/63092581" TargetMode="External"/><Relationship Id="rId596" Type="http://schemas.openxmlformats.org/officeDocument/2006/relationships/hyperlink" Target="https://my.zakupivli.pro/remote/dispatcher/state_purchase_view/60427858" TargetMode="External"/><Relationship Id="rId817" Type="http://schemas.openxmlformats.org/officeDocument/2006/relationships/hyperlink" Target="https://my.zakupivli.pro/remote/dispatcher/state_purchase_view/57441205" TargetMode="External"/><Relationship Id="rId1002" Type="http://schemas.openxmlformats.org/officeDocument/2006/relationships/printerSettings" Target="../printerSettings/printerSettings1.bin"/><Relationship Id="rId249" Type="http://schemas.openxmlformats.org/officeDocument/2006/relationships/hyperlink" Target="https://my.zakupivli.pro/remote/dispatcher/state_purchase_view/65847851" TargetMode="External"/><Relationship Id="rId456" Type="http://schemas.openxmlformats.org/officeDocument/2006/relationships/hyperlink" Target="https://my.zakupivli.pro/remote/dispatcher/state_purchase_view/62088665" TargetMode="External"/><Relationship Id="rId663" Type="http://schemas.openxmlformats.org/officeDocument/2006/relationships/hyperlink" Target="https://my.zakupivli.pro/remote/dispatcher/state_purchase_view/59389739" TargetMode="External"/><Relationship Id="rId870" Type="http://schemas.openxmlformats.org/officeDocument/2006/relationships/hyperlink" Target="https://my.zakupivli.pro/remote/dispatcher/state_purchase_view/56797961" TargetMode="External"/><Relationship Id="rId13" Type="http://schemas.openxmlformats.org/officeDocument/2006/relationships/hyperlink" Target="https://my.zakupivli.pro/remote/dispatcher/state_purchase_view/68493963" TargetMode="External"/><Relationship Id="rId109" Type="http://schemas.openxmlformats.org/officeDocument/2006/relationships/hyperlink" Target="https://my.zakupivli.pro/remote/dispatcher/state_purchase_view/67253333" TargetMode="External"/><Relationship Id="rId316" Type="http://schemas.openxmlformats.org/officeDocument/2006/relationships/hyperlink" Target="https://my.zakupivli.pro/remote/dispatcher/state_purchase_view/65123086" TargetMode="External"/><Relationship Id="rId523" Type="http://schemas.openxmlformats.org/officeDocument/2006/relationships/hyperlink" Target="https://my.zakupivli.pro/remote/dispatcher/state_purchase_view/61313606" TargetMode="External"/><Relationship Id="rId968" Type="http://schemas.openxmlformats.org/officeDocument/2006/relationships/hyperlink" Target="https://my.zakupivli.pro/remote/dispatcher/state_purchase_view/56195997" TargetMode="External"/><Relationship Id="rId97" Type="http://schemas.openxmlformats.org/officeDocument/2006/relationships/hyperlink" Target="https://my.zakupivli.pro/remote/dispatcher/state_purchase_view/67404640" TargetMode="External"/><Relationship Id="rId730" Type="http://schemas.openxmlformats.org/officeDocument/2006/relationships/hyperlink" Target="https://my.zakupivli.pro/remote/dispatcher/state_purchase_view/58442232" TargetMode="External"/><Relationship Id="rId828" Type="http://schemas.openxmlformats.org/officeDocument/2006/relationships/hyperlink" Target="https://my.zakupivli.pro/remote/dispatcher/state_purchase_view/57324803" TargetMode="External"/><Relationship Id="rId162" Type="http://schemas.openxmlformats.org/officeDocument/2006/relationships/hyperlink" Target="https://my.zakupivli.pro/remote/dispatcher/state_purchase_view/66619415" TargetMode="External"/><Relationship Id="rId467" Type="http://schemas.openxmlformats.org/officeDocument/2006/relationships/hyperlink" Target="https://my.zakupivli.pro/remote/dispatcher/state_purchase_view/62072693" TargetMode="External"/><Relationship Id="rId674" Type="http://schemas.openxmlformats.org/officeDocument/2006/relationships/hyperlink" Target="https://my.zakupivli.pro/remote/dispatcher/state_purchase_view/59159708" TargetMode="External"/><Relationship Id="rId881" Type="http://schemas.openxmlformats.org/officeDocument/2006/relationships/hyperlink" Target="https://my.zakupivli.pro/remote/dispatcher/state_purchase_view/56698576" TargetMode="External"/><Relationship Id="rId979" Type="http://schemas.openxmlformats.org/officeDocument/2006/relationships/hyperlink" Target="https://my.zakupivli.pro/remote/dispatcher/state_purchase_view/55730428" TargetMode="External"/><Relationship Id="rId24" Type="http://schemas.openxmlformats.org/officeDocument/2006/relationships/hyperlink" Target="https://my.zakupivli.pro/remote/dispatcher/state_purchase_view/68370500" TargetMode="External"/><Relationship Id="rId327" Type="http://schemas.openxmlformats.org/officeDocument/2006/relationships/hyperlink" Target="https://my.zakupivli.pro/remote/dispatcher/state_purchase_view/64930444" TargetMode="External"/><Relationship Id="rId534" Type="http://schemas.openxmlformats.org/officeDocument/2006/relationships/hyperlink" Target="https://my.zakupivli.pro/remote/dispatcher/state_purchase_view/61176509" TargetMode="External"/><Relationship Id="rId741" Type="http://schemas.openxmlformats.org/officeDocument/2006/relationships/hyperlink" Target="https://my.zakupivli.pro/remote/dispatcher/state_purchase_view/58363768" TargetMode="External"/><Relationship Id="rId839" Type="http://schemas.openxmlformats.org/officeDocument/2006/relationships/hyperlink" Target="https://my.zakupivli.pro/remote/dispatcher/state_purchase_view/57187365" TargetMode="External"/><Relationship Id="rId173" Type="http://schemas.openxmlformats.org/officeDocument/2006/relationships/hyperlink" Target="https://my.zakupivli.pro/remote/dispatcher/state_purchase_view/66476757" TargetMode="External"/><Relationship Id="rId380" Type="http://schemas.openxmlformats.org/officeDocument/2006/relationships/hyperlink" Target="https://my.zakupivli.pro/remote/dispatcher/state_purchase_view/63233561" TargetMode="External"/><Relationship Id="rId601" Type="http://schemas.openxmlformats.org/officeDocument/2006/relationships/hyperlink" Target="https://my.zakupivli.pro/remote/dispatcher/state_purchase_view/60420527" TargetMode="External"/><Relationship Id="rId240" Type="http://schemas.openxmlformats.org/officeDocument/2006/relationships/hyperlink" Target="https://my.zakupivli.pro/remote/dispatcher/state_purchase_view/65886330" TargetMode="External"/><Relationship Id="rId478" Type="http://schemas.openxmlformats.org/officeDocument/2006/relationships/hyperlink" Target="https://my.zakupivli.pro/remote/dispatcher/state_purchase_view/61930737" TargetMode="External"/><Relationship Id="rId685" Type="http://schemas.openxmlformats.org/officeDocument/2006/relationships/hyperlink" Target="https://my.zakupivli.pro/remote/dispatcher/state_purchase_view/59041260" TargetMode="External"/><Relationship Id="rId892" Type="http://schemas.openxmlformats.org/officeDocument/2006/relationships/hyperlink" Target="https://my.zakupivli.pro/remote/dispatcher/state_purchase_view/56656193" TargetMode="External"/><Relationship Id="rId906" Type="http://schemas.openxmlformats.org/officeDocument/2006/relationships/hyperlink" Target="https://my.zakupivli.pro/remote/dispatcher/state_purchase_view/56547318" TargetMode="External"/><Relationship Id="rId35" Type="http://schemas.openxmlformats.org/officeDocument/2006/relationships/hyperlink" Target="https://my.zakupivli.pro/remote/dispatcher/state_purchase_view/68306596" TargetMode="External"/><Relationship Id="rId100" Type="http://schemas.openxmlformats.org/officeDocument/2006/relationships/hyperlink" Target="https://my.zakupivli.pro/remote/dispatcher/state_purchase_view/67402839" TargetMode="External"/><Relationship Id="rId338" Type="http://schemas.openxmlformats.org/officeDocument/2006/relationships/hyperlink" Target="https://my.zakupivli.pro/remote/dispatcher/state_purchase_view/64609011" TargetMode="External"/><Relationship Id="rId545" Type="http://schemas.openxmlformats.org/officeDocument/2006/relationships/hyperlink" Target="https://my.zakupivli.pro/remote/dispatcher/state_purchase_view/61090298" TargetMode="External"/><Relationship Id="rId752" Type="http://schemas.openxmlformats.org/officeDocument/2006/relationships/hyperlink" Target="https://my.zakupivli.pro/remote/dispatcher/state_purchase_view/58188981" TargetMode="External"/><Relationship Id="rId184" Type="http://schemas.openxmlformats.org/officeDocument/2006/relationships/hyperlink" Target="https://my.zakupivli.pro/remote/dispatcher/state_purchase_view/66393070" TargetMode="External"/><Relationship Id="rId391" Type="http://schemas.openxmlformats.org/officeDocument/2006/relationships/hyperlink" Target="https://my.zakupivli.pro/remote/dispatcher/state_purchase_view/63090348" TargetMode="External"/><Relationship Id="rId405" Type="http://schemas.openxmlformats.org/officeDocument/2006/relationships/hyperlink" Target="https://my.zakupivli.pro/remote/dispatcher/state_purchase_view/62936734" TargetMode="External"/><Relationship Id="rId612" Type="http://schemas.openxmlformats.org/officeDocument/2006/relationships/hyperlink" Target="https://my.zakupivli.pro/remote/dispatcher/state_purchase_view/60229816" TargetMode="External"/><Relationship Id="rId251" Type="http://schemas.openxmlformats.org/officeDocument/2006/relationships/hyperlink" Target="https://my.zakupivli.pro/remote/dispatcher/state_purchase_view/65845737" TargetMode="External"/><Relationship Id="rId489" Type="http://schemas.openxmlformats.org/officeDocument/2006/relationships/hyperlink" Target="https://my.zakupivli.pro/remote/dispatcher/state_purchase_view/61756185" TargetMode="External"/><Relationship Id="rId696" Type="http://schemas.openxmlformats.org/officeDocument/2006/relationships/hyperlink" Target="https://my.zakupivli.pro/remote/dispatcher/state_purchase_view/58925702" TargetMode="External"/><Relationship Id="rId917" Type="http://schemas.openxmlformats.org/officeDocument/2006/relationships/hyperlink" Target="https://my.zakupivli.pro/remote/dispatcher/state_purchase_view/56522340" TargetMode="External"/><Relationship Id="rId46" Type="http://schemas.openxmlformats.org/officeDocument/2006/relationships/hyperlink" Target="https://my.zakupivli.pro/remote/dispatcher/state_purchase_view/68204513" TargetMode="External"/><Relationship Id="rId349" Type="http://schemas.openxmlformats.org/officeDocument/2006/relationships/hyperlink" Target="https://my.zakupivli.pro/remote/dispatcher/state_purchase_view/64068300" TargetMode="External"/><Relationship Id="rId556" Type="http://schemas.openxmlformats.org/officeDocument/2006/relationships/hyperlink" Target="https://my.zakupivli.pro/remote/dispatcher/state_purchase_view/60864390" TargetMode="External"/><Relationship Id="rId763" Type="http://schemas.openxmlformats.org/officeDocument/2006/relationships/hyperlink" Target="https://my.zakupivli.pro/remote/dispatcher/state_purchase_view/58075229" TargetMode="External"/><Relationship Id="rId111" Type="http://schemas.openxmlformats.org/officeDocument/2006/relationships/hyperlink" Target="https://my.zakupivli.pro/remote/dispatcher/state_purchase_view/67240557" TargetMode="External"/><Relationship Id="rId195" Type="http://schemas.openxmlformats.org/officeDocument/2006/relationships/hyperlink" Target="https://my.zakupivli.pro/remote/dispatcher/state_purchase_view/66235391" TargetMode="External"/><Relationship Id="rId209" Type="http://schemas.openxmlformats.org/officeDocument/2006/relationships/hyperlink" Target="https://my.zakupivli.pro/remote/dispatcher/state_purchase_view/66110884" TargetMode="External"/><Relationship Id="rId416" Type="http://schemas.openxmlformats.org/officeDocument/2006/relationships/hyperlink" Target="https://my.zakupivli.pro/remote/dispatcher/state_purchase_view/62579067" TargetMode="External"/><Relationship Id="rId970" Type="http://schemas.openxmlformats.org/officeDocument/2006/relationships/hyperlink" Target="https://my.zakupivli.pro/remote/dispatcher/state_purchase_view/56177436" TargetMode="External"/><Relationship Id="rId623" Type="http://schemas.openxmlformats.org/officeDocument/2006/relationships/hyperlink" Target="https://my.zakupivli.pro/remote/dispatcher/state_purchase_view/60198852" TargetMode="External"/><Relationship Id="rId830" Type="http://schemas.openxmlformats.org/officeDocument/2006/relationships/hyperlink" Target="https://my.zakupivli.pro/remote/dispatcher/state_purchase_view/57272220" TargetMode="External"/><Relationship Id="rId928" Type="http://schemas.openxmlformats.org/officeDocument/2006/relationships/hyperlink" Target="https://my.zakupivli.pro/remote/dispatcher/state_purchase_view/56435513" TargetMode="External"/><Relationship Id="rId57" Type="http://schemas.openxmlformats.org/officeDocument/2006/relationships/hyperlink" Target="https://my.zakupivli.pro/remote/dispatcher/state_purchase_view/68003276" TargetMode="External"/><Relationship Id="rId262" Type="http://schemas.openxmlformats.org/officeDocument/2006/relationships/hyperlink" Target="https://my.zakupivli.pro/remote/dispatcher/state_purchase_view/65684370" TargetMode="External"/><Relationship Id="rId567" Type="http://schemas.openxmlformats.org/officeDocument/2006/relationships/hyperlink" Target="https://my.zakupivli.pro/remote/dispatcher/state_purchase_view/60700701" TargetMode="External"/><Relationship Id="rId122" Type="http://schemas.openxmlformats.org/officeDocument/2006/relationships/hyperlink" Target="https://my.zakupivli.pro/remote/dispatcher/state_purchase_view/67178698" TargetMode="External"/><Relationship Id="rId774" Type="http://schemas.openxmlformats.org/officeDocument/2006/relationships/hyperlink" Target="https://my.zakupivli.pro/remote/dispatcher/state_purchase_view/57920265" TargetMode="External"/><Relationship Id="rId981" Type="http://schemas.openxmlformats.org/officeDocument/2006/relationships/hyperlink" Target="https://my.zakupivli.pro/remote/dispatcher/state_purchase_view/55643491" TargetMode="External"/><Relationship Id="rId427" Type="http://schemas.openxmlformats.org/officeDocument/2006/relationships/hyperlink" Target="https://my.zakupivli.pro/remote/dispatcher/state_purchase_view/62470090" TargetMode="External"/><Relationship Id="rId634" Type="http://schemas.openxmlformats.org/officeDocument/2006/relationships/hyperlink" Target="https://my.zakupivli.pro/remote/dispatcher/state_purchase_view/60091938" TargetMode="External"/><Relationship Id="rId841" Type="http://schemas.openxmlformats.org/officeDocument/2006/relationships/hyperlink" Target="https://my.zakupivli.pro/remote/dispatcher/state_purchase_view/57154588" TargetMode="External"/><Relationship Id="rId273" Type="http://schemas.openxmlformats.org/officeDocument/2006/relationships/hyperlink" Target="https://my.zakupivli.pro/remote/dispatcher/state_purchase_view/65554063" TargetMode="External"/><Relationship Id="rId480" Type="http://schemas.openxmlformats.org/officeDocument/2006/relationships/hyperlink" Target="https://my.zakupivli.pro/remote/dispatcher/state_purchase_view/61929423" TargetMode="External"/><Relationship Id="rId701" Type="http://schemas.openxmlformats.org/officeDocument/2006/relationships/hyperlink" Target="https://my.zakupivli.pro/remote/dispatcher/state_purchase_view/58874751" TargetMode="External"/><Relationship Id="rId939" Type="http://schemas.openxmlformats.org/officeDocument/2006/relationships/hyperlink" Target="https://my.zakupivli.pro/remote/dispatcher/state_purchase_view/56403301" TargetMode="External"/><Relationship Id="rId68" Type="http://schemas.openxmlformats.org/officeDocument/2006/relationships/hyperlink" Target="https://my.zakupivli.pro/remote/dispatcher/state_purchase_view/67848929" TargetMode="External"/><Relationship Id="rId133" Type="http://schemas.openxmlformats.org/officeDocument/2006/relationships/hyperlink" Target="https://my.zakupivli.pro/remote/dispatcher/state_purchase_view/67008759" TargetMode="External"/><Relationship Id="rId340" Type="http://schemas.openxmlformats.org/officeDocument/2006/relationships/hyperlink" Target="https://my.zakupivli.pro/remote/dispatcher/state_purchase_view/64570372" TargetMode="External"/><Relationship Id="rId578" Type="http://schemas.openxmlformats.org/officeDocument/2006/relationships/hyperlink" Target="https://my.zakupivli.pro/remote/dispatcher/state_purchase_view/60565557" TargetMode="External"/><Relationship Id="rId785" Type="http://schemas.openxmlformats.org/officeDocument/2006/relationships/hyperlink" Target="https://my.zakupivli.pro/remote/dispatcher/state_purchase_view/57698689" TargetMode="External"/><Relationship Id="rId992" Type="http://schemas.openxmlformats.org/officeDocument/2006/relationships/hyperlink" Target="https://my.zakupivli.pro/remote/dispatcher/state_purchase_view/55383597" TargetMode="External"/><Relationship Id="rId200" Type="http://schemas.openxmlformats.org/officeDocument/2006/relationships/hyperlink" Target="https://my.zakupivli.pro/remote/dispatcher/state_purchase_view/66184177" TargetMode="External"/><Relationship Id="rId438" Type="http://schemas.openxmlformats.org/officeDocument/2006/relationships/hyperlink" Target="https://my.zakupivli.pro/remote/dispatcher/state_purchase_view/62342576" TargetMode="External"/><Relationship Id="rId645" Type="http://schemas.openxmlformats.org/officeDocument/2006/relationships/hyperlink" Target="https://my.zakupivli.pro/remote/dispatcher/state_purchase_view/59881025" TargetMode="External"/><Relationship Id="rId852" Type="http://schemas.openxmlformats.org/officeDocument/2006/relationships/hyperlink" Target="https://my.zakupivli.pro/remote/dispatcher/state_purchase_view/56934840" TargetMode="External"/><Relationship Id="rId284" Type="http://schemas.openxmlformats.org/officeDocument/2006/relationships/hyperlink" Target="https://my.zakupivli.pro/remote/dispatcher/state_purchase_view/65500531" TargetMode="External"/><Relationship Id="rId491" Type="http://schemas.openxmlformats.org/officeDocument/2006/relationships/hyperlink" Target="https://my.zakupivli.pro/remote/dispatcher/state_purchase_view/61726304" TargetMode="External"/><Relationship Id="rId505" Type="http://schemas.openxmlformats.org/officeDocument/2006/relationships/hyperlink" Target="https://my.zakupivli.pro/remote/dispatcher/state_purchase_view/61608582" TargetMode="External"/><Relationship Id="rId712" Type="http://schemas.openxmlformats.org/officeDocument/2006/relationships/hyperlink" Target="https://my.zakupivli.pro/remote/dispatcher/state_purchase_view/58694124" TargetMode="External"/><Relationship Id="rId79" Type="http://schemas.openxmlformats.org/officeDocument/2006/relationships/hyperlink" Target="https://my.zakupivli.pro/remote/dispatcher/state_purchase_view/67685204" TargetMode="External"/><Relationship Id="rId144" Type="http://schemas.openxmlformats.org/officeDocument/2006/relationships/hyperlink" Target="https://my.zakupivli.pro/remote/dispatcher/state_purchase_view/66996406" TargetMode="External"/><Relationship Id="rId589" Type="http://schemas.openxmlformats.org/officeDocument/2006/relationships/hyperlink" Target="https://my.zakupivli.pro/remote/dispatcher/state_purchase_view/60460099" TargetMode="External"/><Relationship Id="rId796" Type="http://schemas.openxmlformats.org/officeDocument/2006/relationships/hyperlink" Target="https://my.zakupivli.pro/remote/dispatcher/state_purchase_view/57666840" TargetMode="External"/><Relationship Id="rId351" Type="http://schemas.openxmlformats.org/officeDocument/2006/relationships/hyperlink" Target="https://my.zakupivli.pro/remote/dispatcher/state_purchase_view/64063646" TargetMode="External"/><Relationship Id="rId449" Type="http://schemas.openxmlformats.org/officeDocument/2006/relationships/hyperlink" Target="https://my.zakupivli.pro/remote/dispatcher/state_purchase_view/62150838" TargetMode="External"/><Relationship Id="rId656" Type="http://schemas.openxmlformats.org/officeDocument/2006/relationships/hyperlink" Target="https://my.zakupivli.pro/remote/dispatcher/state_purchase_view/59600242" TargetMode="External"/><Relationship Id="rId863" Type="http://schemas.openxmlformats.org/officeDocument/2006/relationships/hyperlink" Target="https://my.zakupivli.pro/remote/dispatcher/state_purchase_view/56830646" TargetMode="External"/><Relationship Id="rId211" Type="http://schemas.openxmlformats.org/officeDocument/2006/relationships/hyperlink" Target="https://my.zakupivli.pro/remote/dispatcher/state_purchase_view/66096297" TargetMode="External"/><Relationship Id="rId295" Type="http://schemas.openxmlformats.org/officeDocument/2006/relationships/hyperlink" Target="https://my.zakupivli.pro/remote/dispatcher/state_purchase_view/65256802" TargetMode="External"/><Relationship Id="rId309" Type="http://schemas.openxmlformats.org/officeDocument/2006/relationships/hyperlink" Target="https://my.zakupivli.pro/remote/dispatcher/state_purchase_view/65135372" TargetMode="External"/><Relationship Id="rId516" Type="http://schemas.openxmlformats.org/officeDocument/2006/relationships/hyperlink" Target="https://my.zakupivli.pro/remote/dispatcher/state_purchase_view/61397118" TargetMode="External"/><Relationship Id="rId723" Type="http://schemas.openxmlformats.org/officeDocument/2006/relationships/hyperlink" Target="https://my.zakupivli.pro/remote/dispatcher/state_purchase_view/58564776" TargetMode="External"/><Relationship Id="rId930" Type="http://schemas.openxmlformats.org/officeDocument/2006/relationships/hyperlink" Target="https://my.zakupivli.pro/remote/dispatcher/state_purchase_view/56434582" TargetMode="External"/><Relationship Id="rId155" Type="http://schemas.openxmlformats.org/officeDocument/2006/relationships/hyperlink" Target="https://my.zakupivli.pro/remote/dispatcher/state_purchase_view/66834268" TargetMode="External"/><Relationship Id="rId362" Type="http://schemas.openxmlformats.org/officeDocument/2006/relationships/hyperlink" Target="https://my.zakupivli.pro/remote/dispatcher/state_purchase_view/63621350" TargetMode="External"/><Relationship Id="rId222" Type="http://schemas.openxmlformats.org/officeDocument/2006/relationships/hyperlink" Target="https://my.zakupivli.pro/remote/dispatcher/state_purchase_view/65934240" TargetMode="External"/><Relationship Id="rId667" Type="http://schemas.openxmlformats.org/officeDocument/2006/relationships/hyperlink" Target="https://my.zakupivli.pro/remote/dispatcher/state_purchase_view/59343055" TargetMode="External"/><Relationship Id="rId874" Type="http://schemas.openxmlformats.org/officeDocument/2006/relationships/hyperlink" Target="https://my.zakupivli.pro/remote/dispatcher/state_purchase_view/56761726" TargetMode="External"/><Relationship Id="rId17" Type="http://schemas.openxmlformats.org/officeDocument/2006/relationships/hyperlink" Target="https://my.zakupivli.pro/remote/dispatcher/state_purchase_view/68483396" TargetMode="External"/><Relationship Id="rId527" Type="http://schemas.openxmlformats.org/officeDocument/2006/relationships/hyperlink" Target="https://my.zakupivli.pro/remote/dispatcher/state_purchase_view/61237675" TargetMode="External"/><Relationship Id="rId734" Type="http://schemas.openxmlformats.org/officeDocument/2006/relationships/hyperlink" Target="https://my.zakupivli.pro/remote/dispatcher/state_purchase_view/58440126" TargetMode="External"/><Relationship Id="rId941" Type="http://schemas.openxmlformats.org/officeDocument/2006/relationships/hyperlink" Target="https://my.zakupivli.pro/remote/dispatcher/state_purchase_view/56401668" TargetMode="External"/><Relationship Id="rId70" Type="http://schemas.openxmlformats.org/officeDocument/2006/relationships/hyperlink" Target="https://my.zakupivli.pro/remote/dispatcher/state_purchase_view/67833470" TargetMode="External"/><Relationship Id="rId166" Type="http://schemas.openxmlformats.org/officeDocument/2006/relationships/hyperlink" Target="https://my.zakupivli.pro/remote/dispatcher/state_purchase_view/66535793" TargetMode="External"/><Relationship Id="rId373" Type="http://schemas.openxmlformats.org/officeDocument/2006/relationships/hyperlink" Target="https://my.zakupivli.pro/remote/dispatcher/state_purchase_view/63379267" TargetMode="External"/><Relationship Id="rId580" Type="http://schemas.openxmlformats.org/officeDocument/2006/relationships/hyperlink" Target="https://my.zakupivli.pro/remote/dispatcher/state_purchase_view/60563754" TargetMode="External"/><Relationship Id="rId801" Type="http://schemas.openxmlformats.org/officeDocument/2006/relationships/hyperlink" Target="https://my.zakupivli.pro/remote/dispatcher/state_purchase_view/57627312" TargetMode="External"/><Relationship Id="rId1" Type="http://schemas.openxmlformats.org/officeDocument/2006/relationships/hyperlink" Target="mailto:report-feedback@zakupivli.pro" TargetMode="External"/><Relationship Id="rId233" Type="http://schemas.openxmlformats.org/officeDocument/2006/relationships/hyperlink" Target="https://my.zakupivli.pro/remote/dispatcher/state_purchase_view/65921346" TargetMode="External"/><Relationship Id="rId440" Type="http://schemas.openxmlformats.org/officeDocument/2006/relationships/hyperlink" Target="https://my.zakupivli.pro/remote/dispatcher/state_purchase_view/62340067" TargetMode="External"/><Relationship Id="rId678" Type="http://schemas.openxmlformats.org/officeDocument/2006/relationships/hyperlink" Target="https://my.zakupivli.pro/remote/dispatcher/state_purchase_view/59057529" TargetMode="External"/><Relationship Id="rId885" Type="http://schemas.openxmlformats.org/officeDocument/2006/relationships/hyperlink" Target="https://my.zakupivli.pro/remote/dispatcher/state_purchase_view/56697090" TargetMode="External"/><Relationship Id="rId28" Type="http://schemas.openxmlformats.org/officeDocument/2006/relationships/hyperlink" Target="https://my.zakupivli.pro/remote/dispatcher/state_purchase_view/68364712" TargetMode="External"/><Relationship Id="rId300" Type="http://schemas.openxmlformats.org/officeDocument/2006/relationships/hyperlink" Target="https://my.zakupivli.pro/remote/dispatcher/state_purchase_view/65156851" TargetMode="External"/><Relationship Id="rId538" Type="http://schemas.openxmlformats.org/officeDocument/2006/relationships/hyperlink" Target="https://my.zakupivli.pro/remote/dispatcher/state_purchase_view/61157625" TargetMode="External"/><Relationship Id="rId745" Type="http://schemas.openxmlformats.org/officeDocument/2006/relationships/hyperlink" Target="https://my.zakupivli.pro/remote/dispatcher/state_purchase_view/58268471" TargetMode="External"/><Relationship Id="rId952" Type="http://schemas.openxmlformats.org/officeDocument/2006/relationships/hyperlink" Target="https://my.zakupivli.pro/remote/dispatcher/state_purchase_view/56380003" TargetMode="External"/><Relationship Id="rId81" Type="http://schemas.openxmlformats.org/officeDocument/2006/relationships/hyperlink" Target="https://my.zakupivli.pro/remote/dispatcher/state_purchase_view/67652792" TargetMode="External"/><Relationship Id="rId177" Type="http://schemas.openxmlformats.org/officeDocument/2006/relationships/hyperlink" Target="https://my.zakupivli.pro/remote/dispatcher/state_purchase_view/66474843" TargetMode="External"/><Relationship Id="rId384" Type="http://schemas.openxmlformats.org/officeDocument/2006/relationships/hyperlink" Target="https://my.zakupivli.pro/remote/dispatcher/state_purchase_view/63110393" TargetMode="External"/><Relationship Id="rId591" Type="http://schemas.openxmlformats.org/officeDocument/2006/relationships/hyperlink" Target="https://my.zakupivli.pro/remote/dispatcher/state_purchase_view/60460029" TargetMode="External"/><Relationship Id="rId605" Type="http://schemas.openxmlformats.org/officeDocument/2006/relationships/hyperlink" Target="https://my.zakupivli.pro/remote/dispatcher/state_purchase_view/60288883" TargetMode="External"/><Relationship Id="rId812" Type="http://schemas.openxmlformats.org/officeDocument/2006/relationships/hyperlink" Target="https://my.zakupivli.pro/remote/dispatcher/state_purchase_view/57477339" TargetMode="External"/><Relationship Id="rId244" Type="http://schemas.openxmlformats.org/officeDocument/2006/relationships/hyperlink" Target="https://my.zakupivli.pro/remote/dispatcher/state_purchase_view/65884487" TargetMode="External"/><Relationship Id="rId689" Type="http://schemas.openxmlformats.org/officeDocument/2006/relationships/hyperlink" Target="https://my.zakupivli.pro/remote/dispatcher/state_purchase_view/58932379" TargetMode="External"/><Relationship Id="rId896" Type="http://schemas.openxmlformats.org/officeDocument/2006/relationships/hyperlink" Target="https://my.zakupivli.pro/remote/dispatcher/state_purchase_view/56645897" TargetMode="External"/><Relationship Id="rId39" Type="http://schemas.openxmlformats.org/officeDocument/2006/relationships/hyperlink" Target="https://my.zakupivli.pro/remote/dispatcher/state_purchase_view/68273840" TargetMode="External"/><Relationship Id="rId451" Type="http://schemas.openxmlformats.org/officeDocument/2006/relationships/hyperlink" Target="https://my.zakupivli.pro/remote/dispatcher/state_purchase_view/62119566" TargetMode="External"/><Relationship Id="rId549" Type="http://schemas.openxmlformats.org/officeDocument/2006/relationships/hyperlink" Target="https://my.zakupivli.pro/remote/dispatcher/state_purchase_view/61088924" TargetMode="External"/><Relationship Id="rId756" Type="http://schemas.openxmlformats.org/officeDocument/2006/relationships/hyperlink" Target="https://my.zakupivli.pro/remote/dispatcher/state_purchase_view/58157595" TargetMode="External"/><Relationship Id="rId104" Type="http://schemas.openxmlformats.org/officeDocument/2006/relationships/hyperlink" Target="https://my.zakupivli.pro/remote/dispatcher/state_purchase_view/67351864" TargetMode="External"/><Relationship Id="rId188" Type="http://schemas.openxmlformats.org/officeDocument/2006/relationships/hyperlink" Target="https://my.zakupivli.pro/remote/dispatcher/state_purchase_view/66366242" TargetMode="External"/><Relationship Id="rId311" Type="http://schemas.openxmlformats.org/officeDocument/2006/relationships/hyperlink" Target="https://my.zakupivli.pro/remote/dispatcher/state_purchase_view/65134408" TargetMode="External"/><Relationship Id="rId395" Type="http://schemas.openxmlformats.org/officeDocument/2006/relationships/hyperlink" Target="https://my.zakupivli.pro/remote/dispatcher/state_purchase_view/63019665" TargetMode="External"/><Relationship Id="rId409" Type="http://schemas.openxmlformats.org/officeDocument/2006/relationships/hyperlink" Target="https://my.zakupivli.pro/remote/dispatcher/state_purchase_view/62751295" TargetMode="External"/><Relationship Id="rId963" Type="http://schemas.openxmlformats.org/officeDocument/2006/relationships/hyperlink" Target="https://my.zakupivli.pro/remote/dispatcher/state_purchase_view/56282713" TargetMode="External"/><Relationship Id="rId92" Type="http://schemas.openxmlformats.org/officeDocument/2006/relationships/hyperlink" Target="https://my.zakupivli.pro/remote/dispatcher/state_purchase_view/67474023" TargetMode="External"/><Relationship Id="rId616" Type="http://schemas.openxmlformats.org/officeDocument/2006/relationships/hyperlink" Target="https://my.zakupivli.pro/remote/dispatcher/state_purchase_view/60213282" TargetMode="External"/><Relationship Id="rId823" Type="http://schemas.openxmlformats.org/officeDocument/2006/relationships/hyperlink" Target="https://my.zakupivli.pro/remote/dispatcher/state_purchase_view/57389253" TargetMode="External"/><Relationship Id="rId255" Type="http://schemas.openxmlformats.org/officeDocument/2006/relationships/hyperlink" Target="https://my.zakupivli.pro/remote/dispatcher/state_purchase_view/65831237" TargetMode="External"/><Relationship Id="rId462" Type="http://schemas.openxmlformats.org/officeDocument/2006/relationships/hyperlink" Target="https://my.zakupivli.pro/remote/dispatcher/state_purchase_view/62082314" TargetMode="External"/><Relationship Id="rId115" Type="http://schemas.openxmlformats.org/officeDocument/2006/relationships/hyperlink" Target="https://my.zakupivli.pro/remote/dispatcher/state_purchase_view/67198152" TargetMode="External"/><Relationship Id="rId322" Type="http://schemas.openxmlformats.org/officeDocument/2006/relationships/hyperlink" Target="https://my.zakupivli.pro/remote/dispatcher/state_purchase_view/65041407" TargetMode="External"/><Relationship Id="rId767" Type="http://schemas.openxmlformats.org/officeDocument/2006/relationships/hyperlink" Target="https://my.zakupivli.pro/remote/dispatcher/state_purchase_view/58039853" TargetMode="External"/><Relationship Id="rId974" Type="http://schemas.openxmlformats.org/officeDocument/2006/relationships/hyperlink" Target="https://my.zakupivli.pro/remote/dispatcher/state_purchase_view/55934705" TargetMode="External"/><Relationship Id="rId199" Type="http://schemas.openxmlformats.org/officeDocument/2006/relationships/hyperlink" Target="https://my.zakupivli.pro/remote/dispatcher/state_purchase_view/66198859" TargetMode="External"/><Relationship Id="rId627" Type="http://schemas.openxmlformats.org/officeDocument/2006/relationships/hyperlink" Target="https://my.zakupivli.pro/remote/dispatcher/state_purchase_view/60198547" TargetMode="External"/><Relationship Id="rId834" Type="http://schemas.openxmlformats.org/officeDocument/2006/relationships/hyperlink" Target="https://my.zakupivli.pro/remote/dispatcher/state_purchase_view/57205941" TargetMode="External"/><Relationship Id="rId266" Type="http://schemas.openxmlformats.org/officeDocument/2006/relationships/hyperlink" Target="https://my.zakupivli.pro/remote/dispatcher/state_purchase_view/65647692" TargetMode="External"/><Relationship Id="rId473" Type="http://schemas.openxmlformats.org/officeDocument/2006/relationships/hyperlink" Target="https://my.zakupivli.pro/remote/dispatcher/state_purchase_view/61936242" TargetMode="External"/><Relationship Id="rId680" Type="http://schemas.openxmlformats.org/officeDocument/2006/relationships/hyperlink" Target="https://my.zakupivli.pro/remote/dispatcher/state_purchase_view/59053246" TargetMode="External"/><Relationship Id="rId901" Type="http://schemas.openxmlformats.org/officeDocument/2006/relationships/hyperlink" Target="https://my.zakupivli.pro/remote/dispatcher/state_purchase_view/56612053" TargetMode="External"/><Relationship Id="rId30" Type="http://schemas.openxmlformats.org/officeDocument/2006/relationships/hyperlink" Target="https://my.zakupivli.pro/remote/dispatcher/state_purchase_view/68344529" TargetMode="External"/><Relationship Id="rId126" Type="http://schemas.openxmlformats.org/officeDocument/2006/relationships/hyperlink" Target="https://my.zakupivli.pro/remote/dispatcher/state_purchase_view/67069518" TargetMode="External"/><Relationship Id="rId333" Type="http://schemas.openxmlformats.org/officeDocument/2006/relationships/hyperlink" Target="https://my.zakupivli.pro/remote/dispatcher/state_purchase_view/64785706" TargetMode="External"/><Relationship Id="rId540" Type="http://schemas.openxmlformats.org/officeDocument/2006/relationships/hyperlink" Target="https://my.zakupivli.pro/remote/dispatcher/state_purchase_view/61129070" TargetMode="External"/><Relationship Id="rId778" Type="http://schemas.openxmlformats.org/officeDocument/2006/relationships/hyperlink" Target="https://my.zakupivli.pro/remote/dispatcher/state_purchase_view/57852034" TargetMode="External"/><Relationship Id="rId985" Type="http://schemas.openxmlformats.org/officeDocument/2006/relationships/hyperlink" Target="https://my.zakupivli.pro/remote/dispatcher/state_purchase_view/55618889" TargetMode="External"/><Relationship Id="rId638" Type="http://schemas.openxmlformats.org/officeDocument/2006/relationships/hyperlink" Target="https://my.zakupivli.pro/remote/dispatcher/state_purchase_view/59994431" TargetMode="External"/><Relationship Id="rId845" Type="http://schemas.openxmlformats.org/officeDocument/2006/relationships/hyperlink" Target="https://my.zakupivli.pro/remote/dispatcher/state_purchase_view/57073252" TargetMode="External"/><Relationship Id="rId277" Type="http://schemas.openxmlformats.org/officeDocument/2006/relationships/hyperlink" Target="https://my.zakupivli.pro/remote/dispatcher/state_purchase_view/65532626" TargetMode="External"/><Relationship Id="rId400" Type="http://schemas.openxmlformats.org/officeDocument/2006/relationships/hyperlink" Target="https://my.zakupivli.pro/remote/dispatcher/state_purchase_view/62953183" TargetMode="External"/><Relationship Id="rId484" Type="http://schemas.openxmlformats.org/officeDocument/2006/relationships/hyperlink" Target="https://my.zakupivli.pro/remote/dispatcher/state_purchase_view/61806246" TargetMode="External"/><Relationship Id="rId705" Type="http://schemas.openxmlformats.org/officeDocument/2006/relationships/hyperlink" Target="https://my.zakupivli.pro/remote/dispatcher/state_purchase_view/58848131" TargetMode="External"/><Relationship Id="rId137" Type="http://schemas.openxmlformats.org/officeDocument/2006/relationships/hyperlink" Target="https://my.zakupivli.pro/remote/dispatcher/state_purchase_view/67004730" TargetMode="External"/><Relationship Id="rId344" Type="http://schemas.openxmlformats.org/officeDocument/2006/relationships/hyperlink" Target="https://my.zakupivli.pro/remote/dispatcher/state_purchase_view/64375490" TargetMode="External"/><Relationship Id="rId691" Type="http://schemas.openxmlformats.org/officeDocument/2006/relationships/hyperlink" Target="https://my.zakupivli.pro/remote/dispatcher/state_purchase_view/58931670" TargetMode="External"/><Relationship Id="rId789" Type="http://schemas.openxmlformats.org/officeDocument/2006/relationships/hyperlink" Target="https://my.zakupivli.pro/remote/dispatcher/state_purchase_view/57692844" TargetMode="External"/><Relationship Id="rId912" Type="http://schemas.openxmlformats.org/officeDocument/2006/relationships/hyperlink" Target="https://my.zakupivli.pro/remote/dispatcher/state_purchase_view/56532352" TargetMode="External"/><Relationship Id="rId996" Type="http://schemas.openxmlformats.org/officeDocument/2006/relationships/hyperlink" Target="https://my.zakupivli.pro/remote/dispatcher/state_purchase_view/55267594" TargetMode="External"/><Relationship Id="rId41" Type="http://schemas.openxmlformats.org/officeDocument/2006/relationships/hyperlink" Target="https://my.zakupivli.pro/remote/dispatcher/state_purchase_view/68209251" TargetMode="External"/><Relationship Id="rId83" Type="http://schemas.openxmlformats.org/officeDocument/2006/relationships/hyperlink" Target="https://my.zakupivli.pro/remote/dispatcher/state_purchase_view/67650939" TargetMode="External"/><Relationship Id="rId179" Type="http://schemas.openxmlformats.org/officeDocument/2006/relationships/hyperlink" Target="https://my.zakupivli.pro/remote/dispatcher/state_purchase_view/66446609" TargetMode="External"/><Relationship Id="rId386" Type="http://schemas.openxmlformats.org/officeDocument/2006/relationships/hyperlink" Target="https://my.zakupivli.pro/remote/dispatcher/state_purchase_view/63098885" TargetMode="External"/><Relationship Id="rId551" Type="http://schemas.openxmlformats.org/officeDocument/2006/relationships/hyperlink" Target="https://my.zakupivli.pro/remote/dispatcher/state_purchase_view/61018721" TargetMode="External"/><Relationship Id="rId593" Type="http://schemas.openxmlformats.org/officeDocument/2006/relationships/hyperlink" Target="https://my.zakupivli.pro/remote/dispatcher/state_purchase_view/60428764" TargetMode="External"/><Relationship Id="rId607" Type="http://schemas.openxmlformats.org/officeDocument/2006/relationships/hyperlink" Target="https://my.zakupivli.pro/remote/dispatcher/state_purchase_view/60279774" TargetMode="External"/><Relationship Id="rId649" Type="http://schemas.openxmlformats.org/officeDocument/2006/relationships/hyperlink" Target="https://my.zakupivli.pro/remote/dispatcher/state_purchase_view/59876010" TargetMode="External"/><Relationship Id="rId814" Type="http://schemas.openxmlformats.org/officeDocument/2006/relationships/hyperlink" Target="https://my.zakupivli.pro/remote/dispatcher/state_purchase_view/57457672" TargetMode="External"/><Relationship Id="rId856" Type="http://schemas.openxmlformats.org/officeDocument/2006/relationships/hyperlink" Target="https://my.zakupivli.pro/remote/dispatcher/state_purchase_view/56879511" TargetMode="External"/><Relationship Id="rId190" Type="http://schemas.openxmlformats.org/officeDocument/2006/relationships/hyperlink" Target="https://my.zakupivli.pro/remote/dispatcher/state_purchase_view/66355990" TargetMode="External"/><Relationship Id="rId204" Type="http://schemas.openxmlformats.org/officeDocument/2006/relationships/hyperlink" Target="https://my.zakupivli.pro/remote/dispatcher/state_purchase_view/66137233" TargetMode="External"/><Relationship Id="rId246" Type="http://schemas.openxmlformats.org/officeDocument/2006/relationships/hyperlink" Target="https://my.zakupivli.pro/remote/dispatcher/state_purchase_view/65883337" TargetMode="External"/><Relationship Id="rId288" Type="http://schemas.openxmlformats.org/officeDocument/2006/relationships/hyperlink" Target="https://my.zakupivli.pro/remote/dispatcher/state_purchase_view/65406332" TargetMode="External"/><Relationship Id="rId411" Type="http://schemas.openxmlformats.org/officeDocument/2006/relationships/hyperlink" Target="https://my.zakupivli.pro/remote/dispatcher/state_purchase_view/62671845" TargetMode="External"/><Relationship Id="rId453" Type="http://schemas.openxmlformats.org/officeDocument/2006/relationships/hyperlink" Target="https://my.zakupivli.pro/remote/dispatcher/state_purchase_view/62117713" TargetMode="External"/><Relationship Id="rId509" Type="http://schemas.openxmlformats.org/officeDocument/2006/relationships/hyperlink" Target="https://my.zakupivli.pro/remote/dispatcher/state_purchase_view/61501156" TargetMode="External"/><Relationship Id="rId660" Type="http://schemas.openxmlformats.org/officeDocument/2006/relationships/hyperlink" Target="https://my.zakupivli.pro/remote/dispatcher/state_purchase_view/59563852" TargetMode="External"/><Relationship Id="rId898" Type="http://schemas.openxmlformats.org/officeDocument/2006/relationships/hyperlink" Target="https://my.zakupivli.pro/remote/dispatcher/state_purchase_view/56616658" TargetMode="External"/><Relationship Id="rId106" Type="http://schemas.openxmlformats.org/officeDocument/2006/relationships/hyperlink" Target="https://my.zakupivli.pro/remote/dispatcher/state_purchase_view/67334041" TargetMode="External"/><Relationship Id="rId313" Type="http://schemas.openxmlformats.org/officeDocument/2006/relationships/hyperlink" Target="https://my.zakupivli.pro/remote/dispatcher/state_purchase_view/65125526" TargetMode="External"/><Relationship Id="rId495" Type="http://schemas.openxmlformats.org/officeDocument/2006/relationships/hyperlink" Target="https://my.zakupivli.pro/remote/dispatcher/state_purchase_view/61712091" TargetMode="External"/><Relationship Id="rId716" Type="http://schemas.openxmlformats.org/officeDocument/2006/relationships/hyperlink" Target="https://my.zakupivli.pro/remote/dispatcher/state_purchase_view/58688811" TargetMode="External"/><Relationship Id="rId758" Type="http://schemas.openxmlformats.org/officeDocument/2006/relationships/hyperlink" Target="https://my.zakupivli.pro/remote/dispatcher/state_purchase_view/58140707" TargetMode="External"/><Relationship Id="rId923" Type="http://schemas.openxmlformats.org/officeDocument/2006/relationships/hyperlink" Target="https://my.zakupivli.pro/remote/dispatcher/state_purchase_view/56457005" TargetMode="External"/><Relationship Id="rId965" Type="http://schemas.openxmlformats.org/officeDocument/2006/relationships/hyperlink" Target="https://my.zakupivli.pro/remote/dispatcher/state_purchase_view/56280465" TargetMode="External"/><Relationship Id="rId10" Type="http://schemas.openxmlformats.org/officeDocument/2006/relationships/hyperlink" Target="https://my.zakupivli.pro/remote/dispatcher/state_purchase_view/68504679" TargetMode="External"/><Relationship Id="rId52" Type="http://schemas.openxmlformats.org/officeDocument/2006/relationships/hyperlink" Target="https://my.zakupivli.pro/remote/dispatcher/state_purchase_view/68082590" TargetMode="External"/><Relationship Id="rId94" Type="http://schemas.openxmlformats.org/officeDocument/2006/relationships/hyperlink" Target="https://my.zakupivli.pro/remote/dispatcher/state_purchase_view/67473633" TargetMode="External"/><Relationship Id="rId148" Type="http://schemas.openxmlformats.org/officeDocument/2006/relationships/hyperlink" Target="https://my.zakupivli.pro/remote/dispatcher/state_purchase_view/66862594" TargetMode="External"/><Relationship Id="rId355" Type="http://schemas.openxmlformats.org/officeDocument/2006/relationships/hyperlink" Target="https://my.zakupivli.pro/remote/dispatcher/state_purchase_view/63844192" TargetMode="External"/><Relationship Id="rId397" Type="http://schemas.openxmlformats.org/officeDocument/2006/relationships/hyperlink" Target="https://my.zakupivli.pro/remote/dispatcher/state_purchase_view/62958742" TargetMode="External"/><Relationship Id="rId520" Type="http://schemas.openxmlformats.org/officeDocument/2006/relationships/hyperlink" Target="https://my.zakupivli.pro/remote/dispatcher/state_purchase_view/61343915" TargetMode="External"/><Relationship Id="rId562" Type="http://schemas.openxmlformats.org/officeDocument/2006/relationships/hyperlink" Target="https://my.zakupivli.pro/remote/dispatcher/state_purchase_view/60706668" TargetMode="External"/><Relationship Id="rId618" Type="http://schemas.openxmlformats.org/officeDocument/2006/relationships/hyperlink" Target="https://my.zakupivli.pro/remote/dispatcher/state_purchase_view/60211099" TargetMode="External"/><Relationship Id="rId825" Type="http://schemas.openxmlformats.org/officeDocument/2006/relationships/hyperlink" Target="https://my.zakupivli.pro/remote/dispatcher/state_purchase_view/57371827" TargetMode="External"/><Relationship Id="rId215" Type="http://schemas.openxmlformats.org/officeDocument/2006/relationships/hyperlink" Target="https://my.zakupivli.pro/remote/dispatcher/state_purchase_view/66056611" TargetMode="External"/><Relationship Id="rId257" Type="http://schemas.openxmlformats.org/officeDocument/2006/relationships/hyperlink" Target="https://my.zakupivli.pro/remote/dispatcher/state_purchase_view/65736377" TargetMode="External"/><Relationship Id="rId422" Type="http://schemas.openxmlformats.org/officeDocument/2006/relationships/hyperlink" Target="https://my.zakupivli.pro/remote/dispatcher/state_purchase_view/62527321" TargetMode="External"/><Relationship Id="rId464" Type="http://schemas.openxmlformats.org/officeDocument/2006/relationships/hyperlink" Target="https://my.zakupivli.pro/remote/dispatcher/state_purchase_view/62075603" TargetMode="External"/><Relationship Id="rId867" Type="http://schemas.openxmlformats.org/officeDocument/2006/relationships/hyperlink" Target="https://my.zakupivli.pro/remote/dispatcher/state_purchase_view/56804769" TargetMode="External"/><Relationship Id="rId299" Type="http://schemas.openxmlformats.org/officeDocument/2006/relationships/hyperlink" Target="https://my.zakupivli.pro/remote/dispatcher/state_purchase_view/65186824" TargetMode="External"/><Relationship Id="rId727" Type="http://schemas.openxmlformats.org/officeDocument/2006/relationships/hyperlink" Target="https://my.zakupivli.pro/remote/dispatcher/state_purchase_view/58537679" TargetMode="External"/><Relationship Id="rId934" Type="http://schemas.openxmlformats.org/officeDocument/2006/relationships/hyperlink" Target="https://my.zakupivli.pro/remote/dispatcher/state_purchase_view/56432268" TargetMode="External"/><Relationship Id="rId63" Type="http://schemas.openxmlformats.org/officeDocument/2006/relationships/hyperlink" Target="https://my.zakupivli.pro/remote/dispatcher/state_purchase_view/67852823" TargetMode="External"/><Relationship Id="rId159" Type="http://schemas.openxmlformats.org/officeDocument/2006/relationships/hyperlink" Target="https://my.zakupivli.pro/remote/dispatcher/state_purchase_view/66646609" TargetMode="External"/><Relationship Id="rId366" Type="http://schemas.openxmlformats.org/officeDocument/2006/relationships/hyperlink" Target="https://my.zakupivli.pro/remote/dispatcher/state_purchase_view/63580719" TargetMode="External"/><Relationship Id="rId573" Type="http://schemas.openxmlformats.org/officeDocument/2006/relationships/hyperlink" Target="https://my.zakupivli.pro/remote/dispatcher/state_purchase_view/60606934" TargetMode="External"/><Relationship Id="rId780" Type="http://schemas.openxmlformats.org/officeDocument/2006/relationships/hyperlink" Target="https://my.zakupivli.pro/remote/dispatcher/state_purchase_view/57825795" TargetMode="External"/><Relationship Id="rId226" Type="http://schemas.openxmlformats.org/officeDocument/2006/relationships/hyperlink" Target="https://my.zakupivli.pro/remote/dispatcher/state_purchase_view/65924555" TargetMode="External"/><Relationship Id="rId433" Type="http://schemas.openxmlformats.org/officeDocument/2006/relationships/hyperlink" Target="https://my.zakupivli.pro/remote/dispatcher/state_purchase_view/62451274" TargetMode="External"/><Relationship Id="rId878" Type="http://schemas.openxmlformats.org/officeDocument/2006/relationships/hyperlink" Target="https://my.zakupivli.pro/remote/dispatcher/state_purchase_view/56700999" TargetMode="External"/><Relationship Id="rId640" Type="http://schemas.openxmlformats.org/officeDocument/2006/relationships/hyperlink" Target="https://my.zakupivli.pro/remote/dispatcher/state_purchase_view/59989319" TargetMode="External"/><Relationship Id="rId738" Type="http://schemas.openxmlformats.org/officeDocument/2006/relationships/hyperlink" Target="https://my.zakupivli.pro/remote/dispatcher/state_purchase_view/58373342" TargetMode="External"/><Relationship Id="rId945" Type="http://schemas.openxmlformats.org/officeDocument/2006/relationships/hyperlink" Target="https://my.zakupivli.pro/remote/dispatcher/state_purchase_view/56388197" TargetMode="External"/><Relationship Id="rId74" Type="http://schemas.openxmlformats.org/officeDocument/2006/relationships/hyperlink" Target="https://my.zakupivli.pro/remote/dispatcher/state_purchase_view/67723046" TargetMode="External"/><Relationship Id="rId377" Type="http://schemas.openxmlformats.org/officeDocument/2006/relationships/hyperlink" Target="https://my.zakupivli.pro/remote/dispatcher/state_purchase_view/63240868" TargetMode="External"/><Relationship Id="rId500" Type="http://schemas.openxmlformats.org/officeDocument/2006/relationships/hyperlink" Target="https://my.zakupivli.pro/remote/dispatcher/state_purchase_view/61662139" TargetMode="External"/><Relationship Id="rId584" Type="http://schemas.openxmlformats.org/officeDocument/2006/relationships/hyperlink" Target="https://my.zakupivli.pro/remote/dispatcher/state_purchase_view/60544245" TargetMode="External"/><Relationship Id="rId805" Type="http://schemas.openxmlformats.org/officeDocument/2006/relationships/hyperlink" Target="https://my.zakupivli.pro/remote/dispatcher/state_purchase_view/57592576" TargetMode="External"/><Relationship Id="rId5" Type="http://schemas.openxmlformats.org/officeDocument/2006/relationships/hyperlink" Target="https://my.zakupivli.pro/remote/dispatcher/state_purchase_view/68533592" TargetMode="External"/><Relationship Id="rId237" Type="http://schemas.openxmlformats.org/officeDocument/2006/relationships/hyperlink" Target="https://my.zakupivli.pro/remote/dispatcher/state_purchase_view/65887753" TargetMode="External"/><Relationship Id="rId791" Type="http://schemas.openxmlformats.org/officeDocument/2006/relationships/hyperlink" Target="https://my.zakupivli.pro/remote/dispatcher/state_purchase_view/57672351" TargetMode="External"/><Relationship Id="rId889" Type="http://schemas.openxmlformats.org/officeDocument/2006/relationships/hyperlink" Target="https://my.zakupivli.pro/remote/dispatcher/state_purchase_view/56688544" TargetMode="External"/><Relationship Id="rId444" Type="http://schemas.openxmlformats.org/officeDocument/2006/relationships/hyperlink" Target="https://my.zakupivli.pro/remote/dispatcher/state_purchase_view/62195810" TargetMode="External"/><Relationship Id="rId651" Type="http://schemas.openxmlformats.org/officeDocument/2006/relationships/hyperlink" Target="https://my.zakupivli.pro/remote/dispatcher/state_purchase_view/59817630" TargetMode="External"/><Relationship Id="rId749" Type="http://schemas.openxmlformats.org/officeDocument/2006/relationships/hyperlink" Target="https://my.zakupivli.pro/remote/dispatcher/state_purchase_view/58223338" TargetMode="External"/><Relationship Id="rId290" Type="http://schemas.openxmlformats.org/officeDocument/2006/relationships/hyperlink" Target="https://my.zakupivli.pro/remote/dispatcher/state_purchase_view/65393731" TargetMode="External"/><Relationship Id="rId304" Type="http://schemas.openxmlformats.org/officeDocument/2006/relationships/hyperlink" Target="https://my.zakupivli.pro/remote/dispatcher/state_purchase_view/65142683" TargetMode="External"/><Relationship Id="rId388" Type="http://schemas.openxmlformats.org/officeDocument/2006/relationships/hyperlink" Target="https://my.zakupivli.pro/remote/dispatcher/state_purchase_view/63093194" TargetMode="External"/><Relationship Id="rId511" Type="http://schemas.openxmlformats.org/officeDocument/2006/relationships/hyperlink" Target="https://my.zakupivli.pro/remote/dispatcher/state_purchase_view/61466847" TargetMode="External"/><Relationship Id="rId609" Type="http://schemas.openxmlformats.org/officeDocument/2006/relationships/hyperlink" Target="https://my.zakupivli.pro/remote/dispatcher/state_purchase_view/60276425" TargetMode="External"/><Relationship Id="rId956" Type="http://schemas.openxmlformats.org/officeDocument/2006/relationships/hyperlink" Target="https://my.zakupivli.pro/remote/dispatcher/state_purchase_view/56374482" TargetMode="External"/><Relationship Id="rId85" Type="http://schemas.openxmlformats.org/officeDocument/2006/relationships/hyperlink" Target="https://my.zakupivli.pro/remote/dispatcher/state_purchase_view/67634648" TargetMode="External"/><Relationship Id="rId150" Type="http://schemas.openxmlformats.org/officeDocument/2006/relationships/hyperlink" Target="https://my.zakupivli.pro/remote/dispatcher/state_purchase_view/66838387" TargetMode="External"/><Relationship Id="rId595" Type="http://schemas.openxmlformats.org/officeDocument/2006/relationships/hyperlink" Target="https://my.zakupivli.pro/remote/dispatcher/state_purchase_view/60428190" TargetMode="External"/><Relationship Id="rId816" Type="http://schemas.openxmlformats.org/officeDocument/2006/relationships/hyperlink" Target="https://my.zakupivli.pro/remote/dispatcher/state_purchase_view/57441894" TargetMode="External"/><Relationship Id="rId1001" Type="http://schemas.openxmlformats.org/officeDocument/2006/relationships/hyperlink" Target="https://my.zakupivli.pro/remote/dispatcher/state_purchase_view/55235333" TargetMode="External"/><Relationship Id="rId248" Type="http://schemas.openxmlformats.org/officeDocument/2006/relationships/hyperlink" Target="https://my.zakupivli.pro/remote/dispatcher/state_purchase_view/65849301" TargetMode="External"/><Relationship Id="rId455" Type="http://schemas.openxmlformats.org/officeDocument/2006/relationships/hyperlink" Target="https://my.zakupivli.pro/remote/dispatcher/state_purchase_view/62090777" TargetMode="External"/><Relationship Id="rId662" Type="http://schemas.openxmlformats.org/officeDocument/2006/relationships/hyperlink" Target="https://my.zakupivli.pro/remote/dispatcher/state_purchase_view/59499693" TargetMode="External"/><Relationship Id="rId12" Type="http://schemas.openxmlformats.org/officeDocument/2006/relationships/hyperlink" Target="https://my.zakupivli.pro/remote/dispatcher/state_purchase_view/68496304" TargetMode="External"/><Relationship Id="rId108" Type="http://schemas.openxmlformats.org/officeDocument/2006/relationships/hyperlink" Target="https://my.zakupivli.pro/remote/dispatcher/state_purchase_view/67265831" TargetMode="External"/><Relationship Id="rId315" Type="http://schemas.openxmlformats.org/officeDocument/2006/relationships/hyperlink" Target="https://my.zakupivli.pro/remote/dispatcher/state_purchase_view/65123648" TargetMode="External"/><Relationship Id="rId522" Type="http://schemas.openxmlformats.org/officeDocument/2006/relationships/hyperlink" Target="https://my.zakupivli.pro/remote/dispatcher/state_purchase_view/61315361" TargetMode="External"/><Relationship Id="rId967" Type="http://schemas.openxmlformats.org/officeDocument/2006/relationships/hyperlink" Target="https://my.zakupivli.pro/remote/dispatcher/state_purchase_view/56196564" TargetMode="External"/><Relationship Id="rId96" Type="http://schemas.openxmlformats.org/officeDocument/2006/relationships/hyperlink" Target="https://my.zakupivli.pro/remote/dispatcher/state_purchase_view/67455815" TargetMode="External"/><Relationship Id="rId161" Type="http://schemas.openxmlformats.org/officeDocument/2006/relationships/hyperlink" Target="https://my.zakupivli.pro/remote/dispatcher/state_purchase_view/66619860" TargetMode="External"/><Relationship Id="rId399" Type="http://schemas.openxmlformats.org/officeDocument/2006/relationships/hyperlink" Target="https://my.zakupivli.pro/remote/dispatcher/state_purchase_view/62954354" TargetMode="External"/><Relationship Id="rId827" Type="http://schemas.openxmlformats.org/officeDocument/2006/relationships/hyperlink" Target="https://my.zakupivli.pro/remote/dispatcher/state_purchase_view/57345582" TargetMode="External"/><Relationship Id="rId259" Type="http://schemas.openxmlformats.org/officeDocument/2006/relationships/hyperlink" Target="https://my.zakupivli.pro/remote/dispatcher/state_purchase_view/65731594" TargetMode="External"/><Relationship Id="rId466" Type="http://schemas.openxmlformats.org/officeDocument/2006/relationships/hyperlink" Target="https://my.zakupivli.pro/remote/dispatcher/state_purchase_view/62073532" TargetMode="External"/><Relationship Id="rId673" Type="http://schemas.openxmlformats.org/officeDocument/2006/relationships/hyperlink" Target="https://my.zakupivli.pro/remote/dispatcher/state_purchase_view/59160535" TargetMode="External"/><Relationship Id="rId880" Type="http://schemas.openxmlformats.org/officeDocument/2006/relationships/hyperlink" Target="https://my.zakupivli.pro/remote/dispatcher/state_purchase_view/56699074" TargetMode="External"/><Relationship Id="rId23" Type="http://schemas.openxmlformats.org/officeDocument/2006/relationships/hyperlink" Target="https://my.zakupivli.pro/remote/dispatcher/state_purchase_view/68398987" TargetMode="External"/><Relationship Id="rId119" Type="http://schemas.openxmlformats.org/officeDocument/2006/relationships/hyperlink" Target="https://my.zakupivli.pro/remote/dispatcher/state_purchase_view/67193728" TargetMode="External"/><Relationship Id="rId326" Type="http://schemas.openxmlformats.org/officeDocument/2006/relationships/hyperlink" Target="https://my.zakupivli.pro/remote/dispatcher/state_purchase_view/64930915" TargetMode="External"/><Relationship Id="rId533" Type="http://schemas.openxmlformats.org/officeDocument/2006/relationships/hyperlink" Target="https://my.zakupivli.pro/remote/dispatcher/state_purchase_view/61178050" TargetMode="External"/><Relationship Id="rId978" Type="http://schemas.openxmlformats.org/officeDocument/2006/relationships/hyperlink" Target="https://my.zakupivli.pro/remote/dispatcher/state_purchase_view/55732084" TargetMode="External"/><Relationship Id="rId740" Type="http://schemas.openxmlformats.org/officeDocument/2006/relationships/hyperlink" Target="https://my.zakupivli.pro/remote/dispatcher/state_purchase_view/58364489" TargetMode="External"/><Relationship Id="rId838" Type="http://schemas.openxmlformats.org/officeDocument/2006/relationships/hyperlink" Target="https://my.zakupivli.pro/remote/dispatcher/state_purchase_view/57193663" TargetMode="External"/><Relationship Id="rId172" Type="http://schemas.openxmlformats.org/officeDocument/2006/relationships/hyperlink" Target="https://my.zakupivli.pro/remote/dispatcher/state_purchase_view/66477129" TargetMode="External"/><Relationship Id="rId477" Type="http://schemas.openxmlformats.org/officeDocument/2006/relationships/hyperlink" Target="https://my.zakupivli.pro/remote/dispatcher/state_purchase_view/61931609" TargetMode="External"/><Relationship Id="rId600" Type="http://schemas.openxmlformats.org/officeDocument/2006/relationships/hyperlink" Target="https://my.zakupivli.pro/remote/dispatcher/state_purchase_view/60421258" TargetMode="External"/><Relationship Id="rId684" Type="http://schemas.openxmlformats.org/officeDocument/2006/relationships/hyperlink" Target="https://my.zakupivli.pro/remote/dispatcher/state_purchase_view/59042671" TargetMode="External"/><Relationship Id="rId337" Type="http://schemas.openxmlformats.org/officeDocument/2006/relationships/hyperlink" Target="https://my.zakupivli.pro/remote/dispatcher/state_purchase_view/64610960" TargetMode="External"/><Relationship Id="rId891" Type="http://schemas.openxmlformats.org/officeDocument/2006/relationships/hyperlink" Target="https://my.zakupivli.pro/remote/dispatcher/state_purchase_view/56685926" TargetMode="External"/><Relationship Id="rId905" Type="http://schemas.openxmlformats.org/officeDocument/2006/relationships/hyperlink" Target="https://my.zakupivli.pro/remote/dispatcher/state_purchase_view/56551585" TargetMode="External"/><Relationship Id="rId989" Type="http://schemas.openxmlformats.org/officeDocument/2006/relationships/hyperlink" Target="https://my.zakupivli.pro/remote/dispatcher/state_purchase_view/55400951" TargetMode="External"/><Relationship Id="rId34" Type="http://schemas.openxmlformats.org/officeDocument/2006/relationships/hyperlink" Target="https://my.zakupivli.pro/remote/dispatcher/state_purchase_view/68307579" TargetMode="External"/><Relationship Id="rId544" Type="http://schemas.openxmlformats.org/officeDocument/2006/relationships/hyperlink" Target="https://my.zakupivli.pro/remote/dispatcher/state_purchase_view/61090655" TargetMode="External"/><Relationship Id="rId751" Type="http://schemas.openxmlformats.org/officeDocument/2006/relationships/hyperlink" Target="https://my.zakupivli.pro/remote/dispatcher/state_purchase_view/58189583" TargetMode="External"/><Relationship Id="rId849" Type="http://schemas.openxmlformats.org/officeDocument/2006/relationships/hyperlink" Target="https://my.zakupivli.pro/remote/dispatcher/state_purchase_view/56985694" TargetMode="External"/><Relationship Id="rId183" Type="http://schemas.openxmlformats.org/officeDocument/2006/relationships/hyperlink" Target="https://my.zakupivli.pro/remote/dispatcher/state_purchase_view/66406123" TargetMode="External"/><Relationship Id="rId390" Type="http://schemas.openxmlformats.org/officeDocument/2006/relationships/hyperlink" Target="https://my.zakupivli.pro/remote/dispatcher/state_purchase_view/63090936" TargetMode="External"/><Relationship Id="rId404" Type="http://schemas.openxmlformats.org/officeDocument/2006/relationships/hyperlink" Target="https://my.zakupivli.pro/remote/dispatcher/state_purchase_view/62937497" TargetMode="External"/><Relationship Id="rId611" Type="http://schemas.openxmlformats.org/officeDocument/2006/relationships/hyperlink" Target="https://my.zakupivli.pro/remote/dispatcher/state_purchase_view/60229903" TargetMode="External"/><Relationship Id="rId250" Type="http://schemas.openxmlformats.org/officeDocument/2006/relationships/hyperlink" Target="https://my.zakupivli.pro/remote/dispatcher/state_purchase_view/65846385" TargetMode="External"/><Relationship Id="rId488" Type="http://schemas.openxmlformats.org/officeDocument/2006/relationships/hyperlink" Target="https://my.zakupivli.pro/remote/dispatcher/state_purchase_view/61757170" TargetMode="External"/><Relationship Id="rId695" Type="http://schemas.openxmlformats.org/officeDocument/2006/relationships/hyperlink" Target="https://my.zakupivli.pro/remote/dispatcher/state_purchase_view/58928885" TargetMode="External"/><Relationship Id="rId709" Type="http://schemas.openxmlformats.org/officeDocument/2006/relationships/hyperlink" Target="https://my.zakupivli.pro/remote/dispatcher/state_purchase_view/58701277" TargetMode="External"/><Relationship Id="rId916" Type="http://schemas.openxmlformats.org/officeDocument/2006/relationships/hyperlink" Target="https://my.zakupivli.pro/remote/dispatcher/state_purchase_view/56524045" TargetMode="External"/><Relationship Id="rId45" Type="http://schemas.openxmlformats.org/officeDocument/2006/relationships/hyperlink" Target="https://my.zakupivli.pro/remote/dispatcher/state_purchase_view/68205932" TargetMode="External"/><Relationship Id="rId110" Type="http://schemas.openxmlformats.org/officeDocument/2006/relationships/hyperlink" Target="https://my.zakupivli.pro/remote/dispatcher/state_purchase_view/67241632" TargetMode="External"/><Relationship Id="rId348" Type="http://schemas.openxmlformats.org/officeDocument/2006/relationships/hyperlink" Target="https://my.zakupivli.pro/remote/dispatcher/state_purchase_view/64147616" TargetMode="External"/><Relationship Id="rId555" Type="http://schemas.openxmlformats.org/officeDocument/2006/relationships/hyperlink" Target="https://my.zakupivli.pro/remote/dispatcher/state_purchase_view/60903527" TargetMode="External"/><Relationship Id="rId762" Type="http://schemas.openxmlformats.org/officeDocument/2006/relationships/hyperlink" Target="https://my.zakupivli.pro/remote/dispatcher/state_purchase_view/58085184" TargetMode="External"/><Relationship Id="rId194" Type="http://schemas.openxmlformats.org/officeDocument/2006/relationships/hyperlink" Target="https://my.zakupivli.pro/remote/dispatcher/state_purchase_view/66270797" TargetMode="External"/><Relationship Id="rId208" Type="http://schemas.openxmlformats.org/officeDocument/2006/relationships/hyperlink" Target="https://my.zakupivli.pro/remote/dispatcher/state_purchase_view/66111833" TargetMode="External"/><Relationship Id="rId415" Type="http://schemas.openxmlformats.org/officeDocument/2006/relationships/hyperlink" Target="https://my.zakupivli.pro/remote/dispatcher/state_purchase_view/62664206" TargetMode="External"/><Relationship Id="rId622" Type="http://schemas.openxmlformats.org/officeDocument/2006/relationships/hyperlink" Target="https://my.zakupivli.pro/remote/dispatcher/state_purchase_view/60198900" TargetMode="External"/><Relationship Id="rId261" Type="http://schemas.openxmlformats.org/officeDocument/2006/relationships/hyperlink" Target="https://my.zakupivli.pro/remote/dispatcher/state_purchase_view/65726292" TargetMode="External"/><Relationship Id="rId499" Type="http://schemas.openxmlformats.org/officeDocument/2006/relationships/hyperlink" Target="https://my.zakupivli.pro/remote/dispatcher/state_purchase_view/61662975" TargetMode="External"/><Relationship Id="rId927" Type="http://schemas.openxmlformats.org/officeDocument/2006/relationships/hyperlink" Target="https://my.zakupivli.pro/remote/dispatcher/state_purchase_view/56435741" TargetMode="External"/><Relationship Id="rId56" Type="http://schemas.openxmlformats.org/officeDocument/2006/relationships/hyperlink" Target="https://my.zakupivli.pro/remote/dispatcher/state_purchase_view/68004151" TargetMode="External"/><Relationship Id="rId359" Type="http://schemas.openxmlformats.org/officeDocument/2006/relationships/hyperlink" Target="https://my.zakupivli.pro/remote/dispatcher/state_purchase_view/63646400" TargetMode="External"/><Relationship Id="rId566" Type="http://schemas.openxmlformats.org/officeDocument/2006/relationships/hyperlink" Target="https://my.zakupivli.pro/remote/dispatcher/state_purchase_view/60702147" TargetMode="External"/><Relationship Id="rId773" Type="http://schemas.openxmlformats.org/officeDocument/2006/relationships/hyperlink" Target="https://my.zakupivli.pro/remote/dispatcher/state_purchase_view/57920417" TargetMode="External"/><Relationship Id="rId121" Type="http://schemas.openxmlformats.org/officeDocument/2006/relationships/hyperlink" Target="https://my.zakupivli.pro/remote/dispatcher/state_purchase_view/67180495" TargetMode="External"/><Relationship Id="rId219" Type="http://schemas.openxmlformats.org/officeDocument/2006/relationships/hyperlink" Target="https://my.zakupivli.pro/remote/dispatcher/state_purchase_view/66025765" TargetMode="External"/><Relationship Id="rId426" Type="http://schemas.openxmlformats.org/officeDocument/2006/relationships/hyperlink" Target="https://my.zakupivli.pro/remote/dispatcher/state_purchase_view/62474246" TargetMode="External"/><Relationship Id="rId633" Type="http://schemas.openxmlformats.org/officeDocument/2006/relationships/hyperlink" Target="https://my.zakupivli.pro/remote/dispatcher/state_purchase_view/60108655" TargetMode="External"/><Relationship Id="rId980" Type="http://schemas.openxmlformats.org/officeDocument/2006/relationships/hyperlink" Target="https://my.zakupivli.pro/remote/dispatcher/state_purchase_view/55729117" TargetMode="External"/><Relationship Id="rId840" Type="http://schemas.openxmlformats.org/officeDocument/2006/relationships/hyperlink" Target="https://my.zakupivli.pro/remote/dispatcher/state_purchase_view/57182464" TargetMode="External"/><Relationship Id="rId938" Type="http://schemas.openxmlformats.org/officeDocument/2006/relationships/hyperlink" Target="https://my.zakupivli.pro/remote/dispatcher/state_purchase_view/56427275" TargetMode="External"/><Relationship Id="rId67" Type="http://schemas.openxmlformats.org/officeDocument/2006/relationships/hyperlink" Target="https://my.zakupivli.pro/remote/dispatcher/state_purchase_view/67849284" TargetMode="External"/><Relationship Id="rId272" Type="http://schemas.openxmlformats.org/officeDocument/2006/relationships/hyperlink" Target="https://my.zakupivli.pro/remote/dispatcher/state_purchase_view/65597809" TargetMode="External"/><Relationship Id="rId577" Type="http://schemas.openxmlformats.org/officeDocument/2006/relationships/hyperlink" Target="https://my.zakupivli.pro/remote/dispatcher/state_purchase_view/60596661" TargetMode="External"/><Relationship Id="rId700" Type="http://schemas.openxmlformats.org/officeDocument/2006/relationships/hyperlink" Target="https://my.zakupivli.pro/remote/dispatcher/state_purchase_view/58874952" TargetMode="External"/><Relationship Id="rId132" Type="http://schemas.openxmlformats.org/officeDocument/2006/relationships/hyperlink" Target="https://my.zakupivli.pro/remote/dispatcher/state_purchase_view/67009408" TargetMode="External"/><Relationship Id="rId784" Type="http://schemas.openxmlformats.org/officeDocument/2006/relationships/hyperlink" Target="https://my.zakupivli.pro/remote/dispatcher/state_purchase_view/57705092" TargetMode="External"/><Relationship Id="rId991" Type="http://schemas.openxmlformats.org/officeDocument/2006/relationships/hyperlink" Target="https://my.zakupivli.pro/remote/dispatcher/state_purchase_view/55383761" TargetMode="External"/><Relationship Id="rId437" Type="http://schemas.openxmlformats.org/officeDocument/2006/relationships/hyperlink" Target="https://my.zakupivli.pro/remote/dispatcher/state_purchase_view/62343717" TargetMode="External"/><Relationship Id="rId644" Type="http://schemas.openxmlformats.org/officeDocument/2006/relationships/hyperlink" Target="https://my.zakupivli.pro/remote/dispatcher/state_purchase_view/59883649" TargetMode="External"/><Relationship Id="rId851" Type="http://schemas.openxmlformats.org/officeDocument/2006/relationships/hyperlink" Target="https://my.zakupivli.pro/remote/dispatcher/state_purchase_view/56978768" TargetMode="External"/><Relationship Id="rId283" Type="http://schemas.openxmlformats.org/officeDocument/2006/relationships/hyperlink" Target="https://my.zakupivli.pro/remote/dispatcher/state_purchase_view/65505754" TargetMode="External"/><Relationship Id="rId490" Type="http://schemas.openxmlformats.org/officeDocument/2006/relationships/hyperlink" Target="https://my.zakupivli.pro/remote/dispatcher/state_purchase_view/61726766" TargetMode="External"/><Relationship Id="rId504" Type="http://schemas.openxmlformats.org/officeDocument/2006/relationships/hyperlink" Target="https://my.zakupivli.pro/remote/dispatcher/state_purchase_view/61617357" TargetMode="External"/><Relationship Id="rId711" Type="http://schemas.openxmlformats.org/officeDocument/2006/relationships/hyperlink" Target="https://my.zakupivli.pro/remote/dispatcher/state_purchase_view/58696500" TargetMode="External"/><Relationship Id="rId949" Type="http://schemas.openxmlformats.org/officeDocument/2006/relationships/hyperlink" Target="https://my.zakupivli.pro/remote/dispatcher/state_purchase_view/56386468" TargetMode="External"/><Relationship Id="rId78" Type="http://schemas.openxmlformats.org/officeDocument/2006/relationships/hyperlink" Target="https://my.zakupivli.pro/remote/dispatcher/state_purchase_view/67685939" TargetMode="External"/><Relationship Id="rId143" Type="http://schemas.openxmlformats.org/officeDocument/2006/relationships/hyperlink" Target="https://my.zakupivli.pro/remote/dispatcher/state_purchase_view/66997716" TargetMode="External"/><Relationship Id="rId350" Type="http://schemas.openxmlformats.org/officeDocument/2006/relationships/hyperlink" Target="https://my.zakupivli.pro/remote/dispatcher/state_purchase_view/64066189" TargetMode="External"/><Relationship Id="rId588" Type="http://schemas.openxmlformats.org/officeDocument/2006/relationships/hyperlink" Target="https://my.zakupivli.pro/remote/dispatcher/state_purchase_view/60460141" TargetMode="External"/><Relationship Id="rId795" Type="http://schemas.openxmlformats.org/officeDocument/2006/relationships/hyperlink" Target="https://my.zakupivli.pro/remote/dispatcher/state_purchase_view/57667322" TargetMode="External"/><Relationship Id="rId809" Type="http://schemas.openxmlformats.org/officeDocument/2006/relationships/hyperlink" Target="https://my.zakupivli.pro/remote/dispatcher/state_purchase_view/57512489" TargetMode="External"/><Relationship Id="rId9" Type="http://schemas.openxmlformats.org/officeDocument/2006/relationships/hyperlink" Target="https://my.zakupivli.pro/remote/dispatcher/state_purchase_view/68525812" TargetMode="External"/><Relationship Id="rId210" Type="http://schemas.openxmlformats.org/officeDocument/2006/relationships/hyperlink" Target="https://my.zakupivli.pro/remote/dispatcher/state_purchase_view/66109842" TargetMode="External"/><Relationship Id="rId448" Type="http://schemas.openxmlformats.org/officeDocument/2006/relationships/hyperlink" Target="https://my.zakupivli.pro/remote/dispatcher/state_purchase_view/62173338" TargetMode="External"/><Relationship Id="rId655" Type="http://schemas.openxmlformats.org/officeDocument/2006/relationships/hyperlink" Target="https://my.zakupivli.pro/remote/dispatcher/state_purchase_view/59611631" TargetMode="External"/><Relationship Id="rId862" Type="http://schemas.openxmlformats.org/officeDocument/2006/relationships/hyperlink" Target="https://my.zakupivli.pro/remote/dispatcher/state_purchase_view/56831458" TargetMode="External"/><Relationship Id="rId294" Type="http://schemas.openxmlformats.org/officeDocument/2006/relationships/hyperlink" Target="https://my.zakupivli.pro/remote/dispatcher/state_purchase_view/65257144" TargetMode="External"/><Relationship Id="rId308" Type="http://schemas.openxmlformats.org/officeDocument/2006/relationships/hyperlink" Target="https://my.zakupivli.pro/remote/dispatcher/state_purchase_view/65135920" TargetMode="External"/><Relationship Id="rId515" Type="http://schemas.openxmlformats.org/officeDocument/2006/relationships/hyperlink" Target="https://my.zakupivli.pro/remote/dispatcher/state_purchase_view/61415956" TargetMode="External"/><Relationship Id="rId722" Type="http://schemas.openxmlformats.org/officeDocument/2006/relationships/hyperlink" Target="https://my.zakupivli.pro/remote/dispatcher/state_purchase_view/58567303" TargetMode="External"/><Relationship Id="rId89" Type="http://schemas.openxmlformats.org/officeDocument/2006/relationships/hyperlink" Target="https://my.zakupivli.pro/remote/dispatcher/state_purchase_view/67497886" TargetMode="External"/><Relationship Id="rId154" Type="http://schemas.openxmlformats.org/officeDocument/2006/relationships/hyperlink" Target="https://my.zakupivli.pro/remote/dispatcher/state_purchase_view/66834966" TargetMode="External"/><Relationship Id="rId361" Type="http://schemas.openxmlformats.org/officeDocument/2006/relationships/hyperlink" Target="https://my.zakupivli.pro/remote/dispatcher/state_purchase_view/63623489" TargetMode="External"/><Relationship Id="rId599" Type="http://schemas.openxmlformats.org/officeDocument/2006/relationships/hyperlink" Target="https://my.zakupivli.pro/remote/dispatcher/state_purchase_view/60421544" TargetMode="External"/><Relationship Id="rId459" Type="http://schemas.openxmlformats.org/officeDocument/2006/relationships/hyperlink" Target="https://my.zakupivli.pro/remote/dispatcher/state_purchase_view/62085905" TargetMode="External"/><Relationship Id="rId666" Type="http://schemas.openxmlformats.org/officeDocument/2006/relationships/hyperlink" Target="https://my.zakupivli.pro/remote/dispatcher/state_purchase_view/59343625" TargetMode="External"/><Relationship Id="rId873" Type="http://schemas.openxmlformats.org/officeDocument/2006/relationships/hyperlink" Target="https://my.zakupivli.pro/remote/dispatcher/state_purchase_view/56766779" TargetMode="External"/><Relationship Id="rId16" Type="http://schemas.openxmlformats.org/officeDocument/2006/relationships/hyperlink" Target="https://my.zakupivli.pro/remote/dispatcher/state_purchase_view/68487443" TargetMode="External"/><Relationship Id="rId221" Type="http://schemas.openxmlformats.org/officeDocument/2006/relationships/hyperlink" Target="https://my.zakupivli.pro/remote/dispatcher/state_purchase_view/65934381" TargetMode="External"/><Relationship Id="rId319" Type="http://schemas.openxmlformats.org/officeDocument/2006/relationships/hyperlink" Target="https://my.zakupivli.pro/remote/dispatcher/state_purchase_view/65098213" TargetMode="External"/><Relationship Id="rId526" Type="http://schemas.openxmlformats.org/officeDocument/2006/relationships/hyperlink" Target="https://my.zakupivli.pro/remote/dispatcher/state_purchase_view/61256313" TargetMode="External"/><Relationship Id="rId733" Type="http://schemas.openxmlformats.org/officeDocument/2006/relationships/hyperlink" Target="https://my.zakupivli.pro/remote/dispatcher/state_purchase_view/58440648" TargetMode="External"/><Relationship Id="rId940" Type="http://schemas.openxmlformats.org/officeDocument/2006/relationships/hyperlink" Target="https://my.zakupivli.pro/remote/dispatcher/state_purchase_view/56401884" TargetMode="External"/><Relationship Id="rId165" Type="http://schemas.openxmlformats.org/officeDocument/2006/relationships/hyperlink" Target="https://my.zakupivli.pro/remote/dispatcher/state_purchase_view/66536597" TargetMode="External"/><Relationship Id="rId372" Type="http://schemas.openxmlformats.org/officeDocument/2006/relationships/hyperlink" Target="https://my.zakupivli.pro/remote/dispatcher/state_purchase_view/63380692" TargetMode="External"/><Relationship Id="rId677" Type="http://schemas.openxmlformats.org/officeDocument/2006/relationships/hyperlink" Target="https://my.zakupivli.pro/remote/dispatcher/state_purchase_view/59058355" TargetMode="External"/><Relationship Id="rId800" Type="http://schemas.openxmlformats.org/officeDocument/2006/relationships/hyperlink" Target="https://my.zakupivli.pro/remote/dispatcher/state_purchase_view/57627850" TargetMode="External"/><Relationship Id="rId232" Type="http://schemas.openxmlformats.org/officeDocument/2006/relationships/hyperlink" Target="https://my.zakupivli.pro/remote/dispatcher/state_purchase_view/65921726" TargetMode="External"/><Relationship Id="rId884" Type="http://schemas.openxmlformats.org/officeDocument/2006/relationships/hyperlink" Target="https://my.zakupivli.pro/remote/dispatcher/state_purchase_view/56697510" TargetMode="External"/><Relationship Id="rId27" Type="http://schemas.openxmlformats.org/officeDocument/2006/relationships/hyperlink" Target="https://my.zakupivli.pro/remote/dispatcher/state_purchase_view/68368939" TargetMode="External"/><Relationship Id="rId537" Type="http://schemas.openxmlformats.org/officeDocument/2006/relationships/hyperlink" Target="https://my.zakupivli.pro/remote/dispatcher/state_purchase_view/61171297" TargetMode="External"/><Relationship Id="rId744" Type="http://schemas.openxmlformats.org/officeDocument/2006/relationships/hyperlink" Target="https://my.zakupivli.pro/remote/dispatcher/state_purchase_view/58317351" TargetMode="External"/><Relationship Id="rId951" Type="http://schemas.openxmlformats.org/officeDocument/2006/relationships/hyperlink" Target="https://my.zakupivli.pro/remote/dispatcher/state_purchase_view/56380675" TargetMode="External"/><Relationship Id="rId80" Type="http://schemas.openxmlformats.org/officeDocument/2006/relationships/hyperlink" Target="https://my.zakupivli.pro/remote/dispatcher/state_purchase_view/67684321" TargetMode="External"/><Relationship Id="rId176" Type="http://schemas.openxmlformats.org/officeDocument/2006/relationships/hyperlink" Target="https://my.zakupivli.pro/remote/dispatcher/state_purchase_view/66475750" TargetMode="External"/><Relationship Id="rId383" Type="http://schemas.openxmlformats.org/officeDocument/2006/relationships/hyperlink" Target="https://my.zakupivli.pro/remote/dispatcher/state_purchase_view/63110802" TargetMode="External"/><Relationship Id="rId590" Type="http://schemas.openxmlformats.org/officeDocument/2006/relationships/hyperlink" Target="https://my.zakupivli.pro/remote/dispatcher/state_purchase_view/60460080" TargetMode="External"/><Relationship Id="rId604" Type="http://schemas.openxmlformats.org/officeDocument/2006/relationships/hyperlink" Target="https://my.zakupivli.pro/remote/dispatcher/state_purchase_view/60310207" TargetMode="External"/><Relationship Id="rId811" Type="http://schemas.openxmlformats.org/officeDocument/2006/relationships/hyperlink" Target="https://my.zakupivli.pro/remote/dispatcher/state_purchase_view/57479591" TargetMode="External"/><Relationship Id="rId243" Type="http://schemas.openxmlformats.org/officeDocument/2006/relationships/hyperlink" Target="https://my.zakupivli.pro/remote/dispatcher/state_purchase_view/65884743" TargetMode="External"/><Relationship Id="rId450" Type="http://schemas.openxmlformats.org/officeDocument/2006/relationships/hyperlink" Target="https://my.zakupivli.pro/remote/dispatcher/state_purchase_view/62142798" TargetMode="External"/><Relationship Id="rId688" Type="http://schemas.openxmlformats.org/officeDocument/2006/relationships/hyperlink" Target="https://my.zakupivli.pro/remote/dispatcher/state_purchase_view/58961383" TargetMode="External"/><Relationship Id="rId895" Type="http://schemas.openxmlformats.org/officeDocument/2006/relationships/hyperlink" Target="https://my.zakupivli.pro/remote/dispatcher/state_purchase_view/56647878" TargetMode="External"/><Relationship Id="rId909" Type="http://schemas.openxmlformats.org/officeDocument/2006/relationships/hyperlink" Target="https://my.zakupivli.pro/remote/dispatcher/state_purchase_view/56545949" TargetMode="External"/><Relationship Id="rId38" Type="http://schemas.openxmlformats.org/officeDocument/2006/relationships/hyperlink" Target="https://my.zakupivli.pro/remote/dispatcher/state_purchase_view/68274210" TargetMode="External"/><Relationship Id="rId103" Type="http://schemas.openxmlformats.org/officeDocument/2006/relationships/hyperlink" Target="https://my.zakupivli.pro/remote/dispatcher/state_purchase_view/67351909" TargetMode="External"/><Relationship Id="rId310" Type="http://schemas.openxmlformats.org/officeDocument/2006/relationships/hyperlink" Target="https://my.zakupivli.pro/remote/dispatcher/state_purchase_view/65134912" TargetMode="External"/><Relationship Id="rId548" Type="http://schemas.openxmlformats.org/officeDocument/2006/relationships/hyperlink" Target="https://my.zakupivli.pro/remote/dispatcher/state_purchase_view/61089259" TargetMode="External"/><Relationship Id="rId755" Type="http://schemas.openxmlformats.org/officeDocument/2006/relationships/hyperlink" Target="https://my.zakupivli.pro/remote/dispatcher/state_purchase_view/58160000" TargetMode="External"/><Relationship Id="rId962" Type="http://schemas.openxmlformats.org/officeDocument/2006/relationships/hyperlink" Target="https://my.zakupivli.pro/remote/dispatcher/state_purchase_view/56283289" TargetMode="External"/><Relationship Id="rId91" Type="http://schemas.openxmlformats.org/officeDocument/2006/relationships/hyperlink" Target="https://my.zakupivli.pro/remote/dispatcher/state_purchase_view/67474204" TargetMode="External"/><Relationship Id="rId187" Type="http://schemas.openxmlformats.org/officeDocument/2006/relationships/hyperlink" Target="https://my.zakupivli.pro/remote/dispatcher/state_purchase_view/66387660" TargetMode="External"/><Relationship Id="rId394" Type="http://schemas.openxmlformats.org/officeDocument/2006/relationships/hyperlink" Target="https://my.zakupivli.pro/remote/dispatcher/state_purchase_view/63021833" TargetMode="External"/><Relationship Id="rId408" Type="http://schemas.openxmlformats.org/officeDocument/2006/relationships/hyperlink" Target="https://my.zakupivli.pro/remote/dispatcher/state_purchase_view/62834897" TargetMode="External"/><Relationship Id="rId615" Type="http://schemas.openxmlformats.org/officeDocument/2006/relationships/hyperlink" Target="https://my.zakupivli.pro/remote/dispatcher/state_purchase_view/60214639" TargetMode="External"/><Relationship Id="rId822" Type="http://schemas.openxmlformats.org/officeDocument/2006/relationships/hyperlink" Target="https://my.zakupivli.pro/remote/dispatcher/state_purchase_view/57390786" TargetMode="External"/><Relationship Id="rId254" Type="http://schemas.openxmlformats.org/officeDocument/2006/relationships/hyperlink" Target="https://my.zakupivli.pro/remote/dispatcher/state_purchase_view/65844326" TargetMode="External"/><Relationship Id="rId699" Type="http://schemas.openxmlformats.org/officeDocument/2006/relationships/hyperlink" Target="https://my.zakupivli.pro/remote/dispatcher/state_purchase_view/58875164" TargetMode="External"/><Relationship Id="rId49" Type="http://schemas.openxmlformats.org/officeDocument/2006/relationships/hyperlink" Target="https://my.zakupivli.pro/remote/dispatcher/state_purchase_view/68201134" TargetMode="External"/><Relationship Id="rId114" Type="http://schemas.openxmlformats.org/officeDocument/2006/relationships/hyperlink" Target="https://my.zakupivli.pro/remote/dispatcher/state_purchase_view/67202831" TargetMode="External"/><Relationship Id="rId461" Type="http://schemas.openxmlformats.org/officeDocument/2006/relationships/hyperlink" Target="https://my.zakupivli.pro/remote/dispatcher/state_purchase_view/62082816" TargetMode="External"/><Relationship Id="rId559" Type="http://schemas.openxmlformats.org/officeDocument/2006/relationships/hyperlink" Target="https://my.zakupivli.pro/remote/dispatcher/state_purchase_view/60848991" TargetMode="External"/><Relationship Id="rId766" Type="http://schemas.openxmlformats.org/officeDocument/2006/relationships/hyperlink" Target="https://my.zakupivli.pro/remote/dispatcher/state_purchase_view/58040173" TargetMode="External"/><Relationship Id="rId198" Type="http://schemas.openxmlformats.org/officeDocument/2006/relationships/hyperlink" Target="https://my.zakupivli.pro/remote/dispatcher/state_purchase_view/66221239" TargetMode="External"/><Relationship Id="rId321" Type="http://schemas.openxmlformats.org/officeDocument/2006/relationships/hyperlink" Target="https://my.zakupivli.pro/remote/dispatcher/state_purchase_view/65046340" TargetMode="External"/><Relationship Id="rId419" Type="http://schemas.openxmlformats.org/officeDocument/2006/relationships/hyperlink" Target="https://my.zakupivli.pro/remote/dispatcher/state_purchase_view/62539267" TargetMode="External"/><Relationship Id="rId626" Type="http://schemas.openxmlformats.org/officeDocument/2006/relationships/hyperlink" Target="https://my.zakupivli.pro/remote/dispatcher/state_purchase_view/60198624" TargetMode="External"/><Relationship Id="rId973" Type="http://schemas.openxmlformats.org/officeDocument/2006/relationships/hyperlink" Target="https://my.zakupivli.pro/remote/dispatcher/state_purchase_view/55936412" TargetMode="External"/><Relationship Id="rId833" Type="http://schemas.openxmlformats.org/officeDocument/2006/relationships/hyperlink" Target="https://my.zakupivli.pro/remote/dispatcher/state_purchase_view/57216348" TargetMode="External"/><Relationship Id="rId265" Type="http://schemas.openxmlformats.org/officeDocument/2006/relationships/hyperlink" Target="https://my.zakupivli.pro/remote/dispatcher/state_purchase_view/65672130" TargetMode="External"/><Relationship Id="rId472" Type="http://schemas.openxmlformats.org/officeDocument/2006/relationships/hyperlink" Target="https://my.zakupivli.pro/remote/dispatcher/state_purchase_view/61954940" TargetMode="External"/><Relationship Id="rId900" Type="http://schemas.openxmlformats.org/officeDocument/2006/relationships/hyperlink" Target="https://my.zakupivli.pro/remote/dispatcher/state_purchase_view/56613757" TargetMode="External"/><Relationship Id="rId125" Type="http://schemas.openxmlformats.org/officeDocument/2006/relationships/hyperlink" Target="https://my.zakupivli.pro/remote/dispatcher/state_purchase_view/67109273" TargetMode="External"/><Relationship Id="rId332" Type="http://schemas.openxmlformats.org/officeDocument/2006/relationships/hyperlink" Target="https://my.zakupivli.pro/remote/dispatcher/state_purchase_view/64790370" TargetMode="External"/><Relationship Id="rId777" Type="http://schemas.openxmlformats.org/officeDocument/2006/relationships/hyperlink" Target="https://my.zakupivli.pro/remote/dispatcher/state_purchase_view/57856675" TargetMode="External"/><Relationship Id="rId984" Type="http://schemas.openxmlformats.org/officeDocument/2006/relationships/hyperlink" Target="https://my.zakupivli.pro/remote/dispatcher/state_purchase_view/55620049" TargetMode="External"/><Relationship Id="rId637" Type="http://schemas.openxmlformats.org/officeDocument/2006/relationships/hyperlink" Target="https://my.zakupivli.pro/remote/dispatcher/state_purchase_view/60017455" TargetMode="External"/><Relationship Id="rId844" Type="http://schemas.openxmlformats.org/officeDocument/2006/relationships/hyperlink" Target="https://my.zakupivli.pro/remote/dispatcher/state_purchase_view/57073753" TargetMode="External"/><Relationship Id="rId276" Type="http://schemas.openxmlformats.org/officeDocument/2006/relationships/hyperlink" Target="https://my.zakupivli.pro/remote/dispatcher/state_purchase_view/65547146" TargetMode="External"/><Relationship Id="rId483" Type="http://schemas.openxmlformats.org/officeDocument/2006/relationships/hyperlink" Target="https://my.zakupivli.pro/remote/dispatcher/state_purchase_view/61808353" TargetMode="External"/><Relationship Id="rId690" Type="http://schemas.openxmlformats.org/officeDocument/2006/relationships/hyperlink" Target="https://my.zakupivli.pro/remote/dispatcher/state_purchase_view/58932053" TargetMode="External"/><Relationship Id="rId704" Type="http://schemas.openxmlformats.org/officeDocument/2006/relationships/hyperlink" Target="https://my.zakupivli.pro/remote/dispatcher/state_purchase_view/58851305" TargetMode="External"/><Relationship Id="rId911" Type="http://schemas.openxmlformats.org/officeDocument/2006/relationships/hyperlink" Target="https://my.zakupivli.pro/remote/dispatcher/state_purchase_view/56534212" TargetMode="External"/><Relationship Id="rId40" Type="http://schemas.openxmlformats.org/officeDocument/2006/relationships/hyperlink" Target="https://my.zakupivli.pro/remote/dispatcher/state_purchase_view/68211105" TargetMode="External"/><Relationship Id="rId136" Type="http://schemas.openxmlformats.org/officeDocument/2006/relationships/hyperlink" Target="https://my.zakupivli.pro/remote/dispatcher/state_purchase_view/67005615" TargetMode="External"/><Relationship Id="rId343" Type="http://schemas.openxmlformats.org/officeDocument/2006/relationships/hyperlink" Target="https://my.zakupivli.pro/remote/dispatcher/state_purchase_view/64428366" TargetMode="External"/><Relationship Id="rId550" Type="http://schemas.openxmlformats.org/officeDocument/2006/relationships/hyperlink" Target="https://my.zakupivli.pro/remote/dispatcher/state_purchase_view/61025936" TargetMode="External"/><Relationship Id="rId788" Type="http://schemas.openxmlformats.org/officeDocument/2006/relationships/hyperlink" Target="https://my.zakupivli.pro/remote/dispatcher/state_purchase_view/57694235" TargetMode="External"/><Relationship Id="rId995" Type="http://schemas.openxmlformats.org/officeDocument/2006/relationships/hyperlink" Target="https://my.zakupivli.pro/remote/dispatcher/state_purchase_view/55298929" TargetMode="External"/><Relationship Id="rId203" Type="http://schemas.openxmlformats.org/officeDocument/2006/relationships/hyperlink" Target="https://my.zakupivli.pro/remote/dispatcher/state_purchase_view/66160321" TargetMode="External"/><Relationship Id="rId648" Type="http://schemas.openxmlformats.org/officeDocument/2006/relationships/hyperlink" Target="https://my.zakupivli.pro/remote/dispatcher/state_purchase_view/59876406" TargetMode="External"/><Relationship Id="rId855" Type="http://schemas.openxmlformats.org/officeDocument/2006/relationships/hyperlink" Target="https://my.zakupivli.pro/remote/dispatcher/state_purchase_view/56880066" TargetMode="External"/><Relationship Id="rId287" Type="http://schemas.openxmlformats.org/officeDocument/2006/relationships/hyperlink" Target="https://my.zakupivli.pro/remote/dispatcher/state_purchase_view/65416386" TargetMode="External"/><Relationship Id="rId410" Type="http://schemas.openxmlformats.org/officeDocument/2006/relationships/hyperlink" Target="https://my.zakupivli.pro/remote/dispatcher/state_purchase_view/62708123" TargetMode="External"/><Relationship Id="rId494" Type="http://schemas.openxmlformats.org/officeDocument/2006/relationships/hyperlink" Target="https://my.zakupivli.pro/remote/dispatcher/state_purchase_view/61714092" TargetMode="External"/><Relationship Id="rId508" Type="http://schemas.openxmlformats.org/officeDocument/2006/relationships/hyperlink" Target="https://my.zakupivli.pro/remote/dispatcher/state_purchase_view/61508646" TargetMode="External"/><Relationship Id="rId715" Type="http://schemas.openxmlformats.org/officeDocument/2006/relationships/hyperlink" Target="https://my.zakupivli.pro/remote/dispatcher/state_purchase_view/58690795" TargetMode="External"/><Relationship Id="rId922" Type="http://schemas.openxmlformats.org/officeDocument/2006/relationships/hyperlink" Target="https://my.zakupivli.pro/remote/dispatcher/state_purchase_view/56457196" TargetMode="External"/><Relationship Id="rId147" Type="http://schemas.openxmlformats.org/officeDocument/2006/relationships/hyperlink" Target="https://my.zakupivli.pro/remote/dispatcher/state_purchase_view/66872227" TargetMode="External"/><Relationship Id="rId354" Type="http://schemas.openxmlformats.org/officeDocument/2006/relationships/hyperlink" Target="https://my.zakupivli.pro/remote/dispatcher/state_purchase_view/63925917" TargetMode="External"/><Relationship Id="rId799" Type="http://schemas.openxmlformats.org/officeDocument/2006/relationships/hyperlink" Target="https://my.zakupivli.pro/remote/dispatcher/state_purchase_view/57628283" TargetMode="External"/><Relationship Id="rId51" Type="http://schemas.openxmlformats.org/officeDocument/2006/relationships/hyperlink" Target="https://my.zakupivli.pro/remote/dispatcher/state_purchase_view/68162923" TargetMode="External"/><Relationship Id="rId561" Type="http://schemas.openxmlformats.org/officeDocument/2006/relationships/hyperlink" Target="https://my.zakupivli.pro/remote/dispatcher/state_purchase_view/60707314" TargetMode="External"/><Relationship Id="rId659" Type="http://schemas.openxmlformats.org/officeDocument/2006/relationships/hyperlink" Target="https://my.zakupivli.pro/remote/dispatcher/state_purchase_view/59565439" TargetMode="External"/><Relationship Id="rId866" Type="http://schemas.openxmlformats.org/officeDocument/2006/relationships/hyperlink" Target="https://my.zakupivli.pro/remote/dispatcher/state_purchase_view/56805725" TargetMode="External"/><Relationship Id="rId214" Type="http://schemas.openxmlformats.org/officeDocument/2006/relationships/hyperlink" Target="https://my.zakupivli.pro/remote/dispatcher/state_purchase_view/66058896" TargetMode="External"/><Relationship Id="rId298" Type="http://schemas.openxmlformats.org/officeDocument/2006/relationships/hyperlink" Target="https://my.zakupivli.pro/remote/dispatcher/state_purchase_view/65192548" TargetMode="External"/><Relationship Id="rId421" Type="http://schemas.openxmlformats.org/officeDocument/2006/relationships/hyperlink" Target="https://my.zakupivli.pro/remote/dispatcher/state_purchase_view/62530198" TargetMode="External"/><Relationship Id="rId519" Type="http://schemas.openxmlformats.org/officeDocument/2006/relationships/hyperlink" Target="https://my.zakupivli.pro/remote/dispatcher/state_purchase_view/61351660" TargetMode="External"/><Relationship Id="rId158" Type="http://schemas.openxmlformats.org/officeDocument/2006/relationships/hyperlink" Target="https://my.zakupivli.pro/remote/dispatcher/state_purchase_view/66655968" TargetMode="External"/><Relationship Id="rId726" Type="http://schemas.openxmlformats.org/officeDocument/2006/relationships/hyperlink" Target="https://my.zakupivli.pro/remote/dispatcher/state_purchase_view/58560590" TargetMode="External"/><Relationship Id="rId933" Type="http://schemas.openxmlformats.org/officeDocument/2006/relationships/hyperlink" Target="https://my.zakupivli.pro/remote/dispatcher/state_purchase_view/56432532" TargetMode="External"/><Relationship Id="rId62" Type="http://schemas.openxmlformats.org/officeDocument/2006/relationships/hyperlink" Target="https://my.zakupivli.pro/remote/dispatcher/state_purchase_view/67853403" TargetMode="External"/><Relationship Id="rId365" Type="http://schemas.openxmlformats.org/officeDocument/2006/relationships/hyperlink" Target="https://my.zakupivli.pro/remote/dispatcher/state_purchase_view/63581314" TargetMode="External"/><Relationship Id="rId572" Type="http://schemas.openxmlformats.org/officeDocument/2006/relationships/hyperlink" Target="https://my.zakupivli.pro/remote/dispatcher/state_purchase_view/60607500" TargetMode="External"/><Relationship Id="rId225" Type="http://schemas.openxmlformats.org/officeDocument/2006/relationships/hyperlink" Target="https://my.zakupivli.pro/remote/dispatcher/state_purchase_view/65925040" TargetMode="External"/><Relationship Id="rId432" Type="http://schemas.openxmlformats.org/officeDocument/2006/relationships/hyperlink" Target="https://my.zakupivli.pro/remote/dispatcher/state_purchase_view/62453637" TargetMode="External"/><Relationship Id="rId877" Type="http://schemas.openxmlformats.org/officeDocument/2006/relationships/hyperlink" Target="https://my.zakupivli.pro/remote/dispatcher/state_purchase_view/56727046" TargetMode="External"/><Relationship Id="rId737" Type="http://schemas.openxmlformats.org/officeDocument/2006/relationships/hyperlink" Target="https://my.zakupivli.pro/remote/dispatcher/state_purchase_view/58373608" TargetMode="External"/><Relationship Id="rId944" Type="http://schemas.openxmlformats.org/officeDocument/2006/relationships/hyperlink" Target="https://my.zakupivli.pro/remote/dispatcher/state_purchase_view/56398034" TargetMode="External"/><Relationship Id="rId73" Type="http://schemas.openxmlformats.org/officeDocument/2006/relationships/hyperlink" Target="https://my.zakupivli.pro/remote/dispatcher/state_purchase_view/67736350" TargetMode="External"/><Relationship Id="rId169" Type="http://schemas.openxmlformats.org/officeDocument/2006/relationships/hyperlink" Target="https://my.zakupivli.pro/remote/dispatcher/state_purchase_view/66479701" TargetMode="External"/><Relationship Id="rId376" Type="http://schemas.openxmlformats.org/officeDocument/2006/relationships/hyperlink" Target="https://my.zakupivli.pro/remote/dispatcher/state_purchase_view/63268813" TargetMode="External"/><Relationship Id="rId583" Type="http://schemas.openxmlformats.org/officeDocument/2006/relationships/hyperlink" Target="https://my.zakupivli.pro/remote/dispatcher/state_purchase_view/60560386" TargetMode="External"/><Relationship Id="rId790" Type="http://schemas.openxmlformats.org/officeDocument/2006/relationships/hyperlink" Target="https://my.zakupivli.pro/remote/dispatcher/state_purchase_view/57674843" TargetMode="External"/><Relationship Id="rId804" Type="http://schemas.openxmlformats.org/officeDocument/2006/relationships/hyperlink" Target="https://my.zakupivli.pro/remote/dispatcher/state_purchase_view/57593153" TargetMode="External"/><Relationship Id="rId4" Type="http://schemas.openxmlformats.org/officeDocument/2006/relationships/hyperlink" Target="https://my.zakupivli.pro/remote/dispatcher/state_purchase_view/68556229" TargetMode="External"/><Relationship Id="rId236" Type="http://schemas.openxmlformats.org/officeDocument/2006/relationships/hyperlink" Target="https://my.zakupivli.pro/remote/dispatcher/state_purchase_view/65888917" TargetMode="External"/><Relationship Id="rId443" Type="http://schemas.openxmlformats.org/officeDocument/2006/relationships/hyperlink" Target="https://my.zakupivli.pro/remote/dispatcher/state_purchase_view/62226399" TargetMode="External"/><Relationship Id="rId650" Type="http://schemas.openxmlformats.org/officeDocument/2006/relationships/hyperlink" Target="https://my.zakupivli.pro/remote/dispatcher/state_purchase_view/59821324" TargetMode="External"/><Relationship Id="rId888" Type="http://schemas.openxmlformats.org/officeDocument/2006/relationships/hyperlink" Target="https://my.zakupivli.pro/remote/dispatcher/state_purchase_view/56690153" TargetMode="External"/><Relationship Id="rId303" Type="http://schemas.openxmlformats.org/officeDocument/2006/relationships/hyperlink" Target="https://my.zakupivli.pro/remote/dispatcher/state_purchase_view/65143560" TargetMode="External"/><Relationship Id="rId748" Type="http://schemas.openxmlformats.org/officeDocument/2006/relationships/hyperlink" Target="https://my.zakupivli.pro/remote/dispatcher/state_purchase_view/58228350" TargetMode="External"/><Relationship Id="rId955" Type="http://schemas.openxmlformats.org/officeDocument/2006/relationships/hyperlink" Target="https://my.zakupivli.pro/remote/dispatcher/state_purchase_view/56374727" TargetMode="External"/><Relationship Id="rId84" Type="http://schemas.openxmlformats.org/officeDocument/2006/relationships/hyperlink" Target="https://my.zakupivli.pro/remote/dispatcher/state_purchase_view/67650261" TargetMode="External"/><Relationship Id="rId387" Type="http://schemas.openxmlformats.org/officeDocument/2006/relationships/hyperlink" Target="https://my.zakupivli.pro/remote/dispatcher/state_purchase_view/63094461" TargetMode="External"/><Relationship Id="rId510" Type="http://schemas.openxmlformats.org/officeDocument/2006/relationships/hyperlink" Target="https://my.zakupivli.pro/remote/dispatcher/state_purchase_view/61471835" TargetMode="External"/><Relationship Id="rId594" Type="http://schemas.openxmlformats.org/officeDocument/2006/relationships/hyperlink" Target="https://my.zakupivli.pro/remote/dispatcher/state_purchase_view/60428562" TargetMode="External"/><Relationship Id="rId608" Type="http://schemas.openxmlformats.org/officeDocument/2006/relationships/hyperlink" Target="https://my.zakupivli.pro/remote/dispatcher/state_purchase_view/60279150" TargetMode="External"/><Relationship Id="rId815" Type="http://schemas.openxmlformats.org/officeDocument/2006/relationships/hyperlink" Target="https://my.zakupivli.pro/remote/dispatcher/state_purchase_view/57446257" TargetMode="External"/><Relationship Id="rId247" Type="http://schemas.openxmlformats.org/officeDocument/2006/relationships/hyperlink" Target="https://my.zakupivli.pro/remote/dispatcher/state_purchase_view/65852347" TargetMode="External"/><Relationship Id="rId899" Type="http://schemas.openxmlformats.org/officeDocument/2006/relationships/hyperlink" Target="https://my.zakupivli.pro/remote/dispatcher/state_purchase_view/56615123" TargetMode="External"/><Relationship Id="rId1000" Type="http://schemas.openxmlformats.org/officeDocument/2006/relationships/hyperlink" Target="https://my.zakupivli.pro/remote/dispatcher/state_purchase_view/55236093" TargetMode="External"/><Relationship Id="rId107" Type="http://schemas.openxmlformats.org/officeDocument/2006/relationships/hyperlink" Target="https://my.zakupivli.pro/remote/dispatcher/state_purchase_view/67321964" TargetMode="External"/><Relationship Id="rId454" Type="http://schemas.openxmlformats.org/officeDocument/2006/relationships/hyperlink" Target="https://my.zakupivli.pro/remote/dispatcher/state_purchase_view/62116738" TargetMode="External"/><Relationship Id="rId661" Type="http://schemas.openxmlformats.org/officeDocument/2006/relationships/hyperlink" Target="https://my.zakupivli.pro/remote/dispatcher/state_purchase_view/59546377" TargetMode="External"/><Relationship Id="rId759" Type="http://schemas.openxmlformats.org/officeDocument/2006/relationships/hyperlink" Target="https://my.zakupivli.pro/remote/dispatcher/state_purchase_view/58139484" TargetMode="External"/><Relationship Id="rId966" Type="http://schemas.openxmlformats.org/officeDocument/2006/relationships/hyperlink" Target="https://my.zakupivli.pro/remote/dispatcher/state_purchase_view/56238816" TargetMode="External"/><Relationship Id="rId11" Type="http://schemas.openxmlformats.org/officeDocument/2006/relationships/hyperlink" Target="https://my.zakupivli.pro/remote/dispatcher/state_purchase_view/68496742" TargetMode="External"/><Relationship Id="rId314" Type="http://schemas.openxmlformats.org/officeDocument/2006/relationships/hyperlink" Target="https://my.zakupivli.pro/remote/dispatcher/state_purchase_view/65124472" TargetMode="External"/><Relationship Id="rId398" Type="http://schemas.openxmlformats.org/officeDocument/2006/relationships/hyperlink" Target="https://my.zakupivli.pro/remote/dispatcher/state_purchase_view/62957391" TargetMode="External"/><Relationship Id="rId521" Type="http://schemas.openxmlformats.org/officeDocument/2006/relationships/hyperlink" Target="https://my.zakupivli.pro/remote/dispatcher/state_purchase_view/61329960" TargetMode="External"/><Relationship Id="rId619" Type="http://schemas.openxmlformats.org/officeDocument/2006/relationships/hyperlink" Target="https://my.zakupivli.pro/remote/dispatcher/state_purchase_view/60206357" TargetMode="External"/><Relationship Id="rId95" Type="http://schemas.openxmlformats.org/officeDocument/2006/relationships/hyperlink" Target="https://my.zakupivli.pro/remote/dispatcher/state_purchase_view/67464425" TargetMode="External"/><Relationship Id="rId160" Type="http://schemas.openxmlformats.org/officeDocument/2006/relationships/hyperlink" Target="https://my.zakupivli.pro/remote/dispatcher/state_purchase_view/66620171" TargetMode="External"/><Relationship Id="rId826" Type="http://schemas.openxmlformats.org/officeDocument/2006/relationships/hyperlink" Target="https://my.zakupivli.pro/remote/dispatcher/state_purchase_view/57352114" TargetMode="External"/><Relationship Id="rId258" Type="http://schemas.openxmlformats.org/officeDocument/2006/relationships/hyperlink" Target="https://my.zakupivli.pro/remote/dispatcher/state_purchase_view/65731940" TargetMode="External"/><Relationship Id="rId465" Type="http://schemas.openxmlformats.org/officeDocument/2006/relationships/hyperlink" Target="https://my.zakupivli.pro/remote/dispatcher/state_purchase_view/62074223" TargetMode="External"/><Relationship Id="rId672" Type="http://schemas.openxmlformats.org/officeDocument/2006/relationships/hyperlink" Target="https://my.zakupivli.pro/remote/dispatcher/state_purchase_view/59161668" TargetMode="External"/><Relationship Id="rId22" Type="http://schemas.openxmlformats.org/officeDocument/2006/relationships/hyperlink" Target="https://my.zakupivli.pro/remote/dispatcher/state_purchase_view/68418840" TargetMode="External"/><Relationship Id="rId118" Type="http://schemas.openxmlformats.org/officeDocument/2006/relationships/hyperlink" Target="https://my.zakupivli.pro/remote/dispatcher/state_purchase_view/67195260" TargetMode="External"/><Relationship Id="rId325" Type="http://schemas.openxmlformats.org/officeDocument/2006/relationships/hyperlink" Target="https://my.zakupivli.pro/remote/dispatcher/state_purchase_view/64968488" TargetMode="External"/><Relationship Id="rId532" Type="http://schemas.openxmlformats.org/officeDocument/2006/relationships/hyperlink" Target="https://my.zakupivli.pro/remote/dispatcher/state_purchase_view/61184655" TargetMode="External"/><Relationship Id="rId977" Type="http://schemas.openxmlformats.org/officeDocument/2006/relationships/hyperlink" Target="https://my.zakupivli.pro/remote/dispatcher/state_purchase_view/55734217" TargetMode="External"/><Relationship Id="rId171" Type="http://schemas.openxmlformats.org/officeDocument/2006/relationships/hyperlink" Target="https://my.zakupivli.pro/remote/dispatcher/state_purchase_view/66477847" TargetMode="External"/><Relationship Id="rId837" Type="http://schemas.openxmlformats.org/officeDocument/2006/relationships/hyperlink" Target="https://my.zakupivli.pro/remote/dispatcher/state_purchase_view/57193860" TargetMode="External"/><Relationship Id="rId269" Type="http://schemas.openxmlformats.org/officeDocument/2006/relationships/hyperlink" Target="https://my.zakupivli.pro/remote/dispatcher/state_purchase_view/65644524" TargetMode="External"/><Relationship Id="rId476" Type="http://schemas.openxmlformats.org/officeDocument/2006/relationships/hyperlink" Target="https://my.zakupivli.pro/remote/dispatcher/state_purchase_view/61933224" TargetMode="External"/><Relationship Id="rId683" Type="http://schemas.openxmlformats.org/officeDocument/2006/relationships/hyperlink" Target="https://my.zakupivli.pro/remote/dispatcher/state_purchase_view/59043988" TargetMode="External"/><Relationship Id="rId890" Type="http://schemas.openxmlformats.org/officeDocument/2006/relationships/hyperlink" Target="https://my.zakupivli.pro/remote/dispatcher/state_purchase_view/56686763" TargetMode="External"/><Relationship Id="rId904" Type="http://schemas.openxmlformats.org/officeDocument/2006/relationships/hyperlink" Target="https://my.zakupivli.pro/remote/dispatcher/state_purchase_view/56601141" TargetMode="External"/><Relationship Id="rId33" Type="http://schemas.openxmlformats.org/officeDocument/2006/relationships/hyperlink" Target="https://my.zakupivli.pro/remote/dispatcher/state_purchase_view/68329634" TargetMode="External"/><Relationship Id="rId129" Type="http://schemas.openxmlformats.org/officeDocument/2006/relationships/hyperlink" Target="https://my.zakupivli.pro/remote/dispatcher/state_purchase_view/67013604" TargetMode="External"/><Relationship Id="rId336" Type="http://schemas.openxmlformats.org/officeDocument/2006/relationships/hyperlink" Target="https://my.zakupivli.pro/remote/dispatcher/state_purchase_view/64672669" TargetMode="External"/><Relationship Id="rId543" Type="http://schemas.openxmlformats.org/officeDocument/2006/relationships/hyperlink" Target="https://my.zakupivli.pro/remote/dispatcher/state_purchase_view/61091211" TargetMode="External"/><Relationship Id="rId988" Type="http://schemas.openxmlformats.org/officeDocument/2006/relationships/hyperlink" Target="https://my.zakupivli.pro/remote/dispatcher/state_purchase_view/55429365" TargetMode="External"/><Relationship Id="rId182" Type="http://schemas.openxmlformats.org/officeDocument/2006/relationships/hyperlink" Target="https://my.zakupivli.pro/remote/dispatcher/state_purchase_view/66408064" TargetMode="External"/><Relationship Id="rId403" Type="http://schemas.openxmlformats.org/officeDocument/2006/relationships/hyperlink" Target="https://my.zakupivli.pro/remote/dispatcher/state_purchase_view/62949536" TargetMode="External"/><Relationship Id="rId750" Type="http://schemas.openxmlformats.org/officeDocument/2006/relationships/hyperlink" Target="https://my.zakupivli.pro/remote/dispatcher/state_purchase_view/58190730" TargetMode="External"/><Relationship Id="rId848" Type="http://schemas.openxmlformats.org/officeDocument/2006/relationships/hyperlink" Target="https://my.zakupivli.pro/remote/dispatcher/state_purchase_view/56988088" TargetMode="External"/><Relationship Id="rId487" Type="http://schemas.openxmlformats.org/officeDocument/2006/relationships/hyperlink" Target="https://my.zakupivli.pro/remote/dispatcher/state_purchase_view/61768059" TargetMode="External"/><Relationship Id="rId610" Type="http://schemas.openxmlformats.org/officeDocument/2006/relationships/hyperlink" Target="https://my.zakupivli.pro/remote/dispatcher/state_purchase_view/60230205" TargetMode="External"/><Relationship Id="rId694" Type="http://schemas.openxmlformats.org/officeDocument/2006/relationships/hyperlink" Target="https://my.zakupivli.pro/remote/dispatcher/state_purchase_view/58930208" TargetMode="External"/><Relationship Id="rId708" Type="http://schemas.openxmlformats.org/officeDocument/2006/relationships/hyperlink" Target="https://my.zakupivli.pro/remote/dispatcher/state_purchase_view/58789278" TargetMode="External"/><Relationship Id="rId915" Type="http://schemas.openxmlformats.org/officeDocument/2006/relationships/hyperlink" Target="https://my.zakupivli.pro/remote/dispatcher/state_purchase_view/56526165" TargetMode="External"/><Relationship Id="rId347" Type="http://schemas.openxmlformats.org/officeDocument/2006/relationships/hyperlink" Target="https://my.zakupivli.pro/remote/dispatcher/state_purchase_view/64221195" TargetMode="External"/><Relationship Id="rId999" Type="http://schemas.openxmlformats.org/officeDocument/2006/relationships/hyperlink" Target="https://my.zakupivli.pro/remote/dispatcher/state_purchase_view/55252543" TargetMode="External"/><Relationship Id="rId44" Type="http://schemas.openxmlformats.org/officeDocument/2006/relationships/hyperlink" Target="https://my.zakupivli.pro/remote/dispatcher/state_purchase_view/68206821" TargetMode="External"/><Relationship Id="rId554" Type="http://schemas.openxmlformats.org/officeDocument/2006/relationships/hyperlink" Target="https://my.zakupivli.pro/remote/dispatcher/state_purchase_view/60904162" TargetMode="External"/><Relationship Id="rId761" Type="http://schemas.openxmlformats.org/officeDocument/2006/relationships/hyperlink" Target="https://my.zakupivli.pro/remote/dispatcher/state_purchase_view/58109556" TargetMode="External"/><Relationship Id="rId859" Type="http://schemas.openxmlformats.org/officeDocument/2006/relationships/hyperlink" Target="https://my.zakupivli.pro/remote/dispatcher/state_purchase_view/56835119" TargetMode="External"/><Relationship Id="rId193" Type="http://schemas.openxmlformats.org/officeDocument/2006/relationships/hyperlink" Target="https://my.zakupivli.pro/remote/dispatcher/state_purchase_view/66276063" TargetMode="External"/><Relationship Id="rId207" Type="http://schemas.openxmlformats.org/officeDocument/2006/relationships/hyperlink" Target="https://my.zakupivli.pro/remote/dispatcher/state_purchase_view/66126181" TargetMode="External"/><Relationship Id="rId414" Type="http://schemas.openxmlformats.org/officeDocument/2006/relationships/hyperlink" Target="https://my.zakupivli.pro/remote/dispatcher/state_purchase_view/62664475" TargetMode="External"/><Relationship Id="rId498" Type="http://schemas.openxmlformats.org/officeDocument/2006/relationships/hyperlink" Target="https://my.zakupivli.pro/remote/dispatcher/state_purchase_view/61674797" TargetMode="External"/><Relationship Id="rId621" Type="http://schemas.openxmlformats.org/officeDocument/2006/relationships/hyperlink" Target="https://my.zakupivli.pro/remote/dispatcher/state_purchase_view/60198937" TargetMode="External"/><Relationship Id="rId260" Type="http://schemas.openxmlformats.org/officeDocument/2006/relationships/hyperlink" Target="https://my.zakupivli.pro/remote/dispatcher/state_purchase_view/65728099" TargetMode="External"/><Relationship Id="rId719" Type="http://schemas.openxmlformats.org/officeDocument/2006/relationships/hyperlink" Target="https://my.zakupivli.pro/remote/dispatcher/state_purchase_view/58596340" TargetMode="External"/><Relationship Id="rId926" Type="http://schemas.openxmlformats.org/officeDocument/2006/relationships/hyperlink" Target="https://my.zakupivli.pro/remote/dispatcher/state_purchase_view/56442673" TargetMode="External"/><Relationship Id="rId55" Type="http://schemas.openxmlformats.org/officeDocument/2006/relationships/hyperlink" Target="https://my.zakupivli.pro/remote/dispatcher/state_purchase_view/68006415" TargetMode="External"/><Relationship Id="rId120" Type="http://schemas.openxmlformats.org/officeDocument/2006/relationships/hyperlink" Target="https://my.zakupivli.pro/remote/dispatcher/state_purchase_view/67180965" TargetMode="External"/><Relationship Id="rId358" Type="http://schemas.openxmlformats.org/officeDocument/2006/relationships/hyperlink" Target="https://my.zakupivli.pro/remote/dispatcher/state_purchase_view/63647209" TargetMode="External"/><Relationship Id="rId565" Type="http://schemas.openxmlformats.org/officeDocument/2006/relationships/hyperlink" Target="https://my.zakupivli.pro/remote/dispatcher/state_purchase_view/60702609" TargetMode="External"/><Relationship Id="rId772" Type="http://schemas.openxmlformats.org/officeDocument/2006/relationships/hyperlink" Target="https://my.zakupivli.pro/remote/dispatcher/state_purchase_view/57921334" TargetMode="External"/><Relationship Id="rId218" Type="http://schemas.openxmlformats.org/officeDocument/2006/relationships/hyperlink" Target="https://my.zakupivli.pro/remote/dispatcher/state_purchase_view/66032316" TargetMode="External"/><Relationship Id="rId425" Type="http://schemas.openxmlformats.org/officeDocument/2006/relationships/hyperlink" Target="https://my.zakupivli.pro/remote/dispatcher/state_purchase_view/62491404" TargetMode="External"/><Relationship Id="rId632" Type="http://schemas.openxmlformats.org/officeDocument/2006/relationships/hyperlink" Target="https://my.zakupivli.pro/remote/dispatcher/state_purchase_view/60117587" TargetMode="External"/><Relationship Id="rId271" Type="http://schemas.openxmlformats.org/officeDocument/2006/relationships/hyperlink" Target="https://my.zakupivli.pro/remote/dispatcher/state_purchase_view/65640966" TargetMode="External"/><Relationship Id="rId937" Type="http://schemas.openxmlformats.org/officeDocument/2006/relationships/hyperlink" Target="https://my.zakupivli.pro/remote/dispatcher/state_purchase_view/56427764" TargetMode="External"/><Relationship Id="rId66" Type="http://schemas.openxmlformats.org/officeDocument/2006/relationships/hyperlink" Target="https://my.zakupivli.pro/remote/dispatcher/state_purchase_view/67850326" TargetMode="External"/><Relationship Id="rId131" Type="http://schemas.openxmlformats.org/officeDocument/2006/relationships/hyperlink" Target="https://my.zakupivli.pro/remote/dispatcher/state_purchase_view/67010634" TargetMode="External"/><Relationship Id="rId369" Type="http://schemas.openxmlformats.org/officeDocument/2006/relationships/hyperlink" Target="https://my.zakupivli.pro/remote/dispatcher/state_purchase_view/63560615" TargetMode="External"/><Relationship Id="rId576" Type="http://schemas.openxmlformats.org/officeDocument/2006/relationships/hyperlink" Target="https://my.zakupivli.pro/remote/dispatcher/state_purchase_view/60600117" TargetMode="External"/><Relationship Id="rId783" Type="http://schemas.openxmlformats.org/officeDocument/2006/relationships/hyperlink" Target="https://my.zakupivli.pro/remote/dispatcher/state_purchase_view/57723196" TargetMode="External"/><Relationship Id="rId990" Type="http://schemas.openxmlformats.org/officeDocument/2006/relationships/hyperlink" Target="https://my.zakupivli.pro/remote/dispatcher/state_purchase_view/55386463" TargetMode="External"/><Relationship Id="rId229" Type="http://schemas.openxmlformats.org/officeDocument/2006/relationships/hyperlink" Target="https://my.zakupivli.pro/remote/dispatcher/state_purchase_view/65923984" TargetMode="External"/><Relationship Id="rId436" Type="http://schemas.openxmlformats.org/officeDocument/2006/relationships/hyperlink" Target="https://my.zakupivli.pro/remote/dispatcher/state_purchase_view/62346546" TargetMode="External"/><Relationship Id="rId643" Type="http://schemas.openxmlformats.org/officeDocument/2006/relationships/hyperlink" Target="https://my.zakupivli.pro/remote/dispatcher/state_purchase_view/59920748" TargetMode="External"/><Relationship Id="rId850" Type="http://schemas.openxmlformats.org/officeDocument/2006/relationships/hyperlink" Target="https://my.zakupivli.pro/remote/dispatcher/state_purchase_view/56979377" TargetMode="External"/><Relationship Id="rId948" Type="http://schemas.openxmlformats.org/officeDocument/2006/relationships/hyperlink" Target="https://my.zakupivli.pro/remote/dispatcher/state_purchase_view/56386998" TargetMode="External"/><Relationship Id="rId77" Type="http://schemas.openxmlformats.org/officeDocument/2006/relationships/hyperlink" Target="https://my.zakupivli.pro/remote/dispatcher/state_purchase_view/67686541" TargetMode="External"/><Relationship Id="rId282" Type="http://schemas.openxmlformats.org/officeDocument/2006/relationships/hyperlink" Target="https://my.zakupivli.pro/remote/dispatcher/state_purchase_view/65525190" TargetMode="External"/><Relationship Id="rId503" Type="http://schemas.openxmlformats.org/officeDocument/2006/relationships/hyperlink" Target="https://my.zakupivli.pro/remote/dispatcher/state_purchase_view/61647790" TargetMode="External"/><Relationship Id="rId587" Type="http://schemas.openxmlformats.org/officeDocument/2006/relationships/hyperlink" Target="https://my.zakupivli.pro/remote/dispatcher/state_purchase_view/60460160" TargetMode="External"/><Relationship Id="rId710" Type="http://schemas.openxmlformats.org/officeDocument/2006/relationships/hyperlink" Target="https://my.zakupivli.pro/remote/dispatcher/state_purchase_view/58699006" TargetMode="External"/><Relationship Id="rId808" Type="http://schemas.openxmlformats.org/officeDocument/2006/relationships/hyperlink" Target="https://my.zakupivli.pro/remote/dispatcher/state_purchase_view/57568540" TargetMode="External"/><Relationship Id="rId8" Type="http://schemas.openxmlformats.org/officeDocument/2006/relationships/hyperlink" Target="https://my.zakupivli.pro/remote/dispatcher/state_purchase_view/68531759" TargetMode="External"/><Relationship Id="rId142" Type="http://schemas.openxmlformats.org/officeDocument/2006/relationships/hyperlink" Target="https://my.zakupivli.pro/remote/dispatcher/state_purchase_view/66998105" TargetMode="External"/><Relationship Id="rId447" Type="http://schemas.openxmlformats.org/officeDocument/2006/relationships/hyperlink" Target="https://my.zakupivli.pro/remote/dispatcher/state_purchase_view/62174141" TargetMode="External"/><Relationship Id="rId794" Type="http://schemas.openxmlformats.org/officeDocument/2006/relationships/hyperlink" Target="https://my.zakupivli.pro/remote/dispatcher/state_purchase_view/57667625" TargetMode="External"/><Relationship Id="rId654" Type="http://schemas.openxmlformats.org/officeDocument/2006/relationships/hyperlink" Target="https://my.zakupivli.pro/remote/dispatcher/state_purchase_view/59613401" TargetMode="External"/><Relationship Id="rId861" Type="http://schemas.openxmlformats.org/officeDocument/2006/relationships/hyperlink" Target="https://my.zakupivli.pro/remote/dispatcher/state_purchase_view/56832154" TargetMode="External"/><Relationship Id="rId959" Type="http://schemas.openxmlformats.org/officeDocument/2006/relationships/hyperlink" Target="https://my.zakupivli.pro/remote/dispatcher/state_purchase_view/56305154" TargetMode="External"/><Relationship Id="rId293" Type="http://schemas.openxmlformats.org/officeDocument/2006/relationships/hyperlink" Target="https://my.zakupivli.pro/remote/dispatcher/state_purchase_view/65292736" TargetMode="External"/><Relationship Id="rId307" Type="http://schemas.openxmlformats.org/officeDocument/2006/relationships/hyperlink" Target="https://my.zakupivli.pro/remote/dispatcher/state_purchase_view/65136868" TargetMode="External"/><Relationship Id="rId514" Type="http://schemas.openxmlformats.org/officeDocument/2006/relationships/hyperlink" Target="https://my.zakupivli.pro/remote/dispatcher/state_purchase_view/61455661" TargetMode="External"/><Relationship Id="rId721" Type="http://schemas.openxmlformats.org/officeDocument/2006/relationships/hyperlink" Target="https://my.zakupivli.pro/remote/dispatcher/state_purchase_view/58568255" TargetMode="External"/><Relationship Id="rId88" Type="http://schemas.openxmlformats.org/officeDocument/2006/relationships/hyperlink" Target="https://my.zakupivli.pro/remote/dispatcher/state_purchase_view/67503602" TargetMode="External"/><Relationship Id="rId153" Type="http://schemas.openxmlformats.org/officeDocument/2006/relationships/hyperlink" Target="https://my.zakupivli.pro/remote/dispatcher/state_purchase_view/66835740" TargetMode="External"/><Relationship Id="rId360" Type="http://schemas.openxmlformats.org/officeDocument/2006/relationships/hyperlink" Target="https://my.zakupivli.pro/remote/dispatcher/state_purchase_view/63624149" TargetMode="External"/><Relationship Id="rId598" Type="http://schemas.openxmlformats.org/officeDocument/2006/relationships/hyperlink" Target="https://my.zakupivli.pro/remote/dispatcher/state_purchase_view/60427206" TargetMode="External"/><Relationship Id="rId819" Type="http://schemas.openxmlformats.org/officeDocument/2006/relationships/hyperlink" Target="https://my.zakupivli.pro/remote/dispatcher/state_purchase_view/57394318" TargetMode="External"/><Relationship Id="rId220" Type="http://schemas.openxmlformats.org/officeDocument/2006/relationships/hyperlink" Target="https://my.zakupivli.pro/remote/dispatcher/state_purchase_view/65934908" TargetMode="External"/><Relationship Id="rId458" Type="http://schemas.openxmlformats.org/officeDocument/2006/relationships/hyperlink" Target="https://my.zakupivli.pro/remote/dispatcher/state_purchase_view/62086595" TargetMode="External"/><Relationship Id="rId665" Type="http://schemas.openxmlformats.org/officeDocument/2006/relationships/hyperlink" Target="https://my.zakupivli.pro/remote/dispatcher/state_purchase_view/59356296" TargetMode="External"/><Relationship Id="rId872" Type="http://schemas.openxmlformats.org/officeDocument/2006/relationships/hyperlink" Target="https://my.zakupivli.pro/remote/dispatcher/state_purchase_view/56796005" TargetMode="External"/><Relationship Id="rId15" Type="http://schemas.openxmlformats.org/officeDocument/2006/relationships/hyperlink" Target="https://my.zakupivli.pro/remote/dispatcher/state_purchase_view/68489510" TargetMode="External"/><Relationship Id="rId318" Type="http://schemas.openxmlformats.org/officeDocument/2006/relationships/hyperlink" Target="https://my.zakupivli.pro/remote/dispatcher/state_purchase_view/65098577" TargetMode="External"/><Relationship Id="rId525" Type="http://schemas.openxmlformats.org/officeDocument/2006/relationships/hyperlink" Target="https://my.zakupivli.pro/remote/dispatcher/state_purchase_view/61311757" TargetMode="External"/><Relationship Id="rId732" Type="http://schemas.openxmlformats.org/officeDocument/2006/relationships/hyperlink" Target="https://my.zakupivli.pro/remote/dispatcher/state_purchase_view/58441006" TargetMode="External"/><Relationship Id="rId99" Type="http://schemas.openxmlformats.org/officeDocument/2006/relationships/hyperlink" Target="https://my.zakupivli.pro/remote/dispatcher/state_purchase_view/67403852" TargetMode="External"/><Relationship Id="rId164" Type="http://schemas.openxmlformats.org/officeDocument/2006/relationships/hyperlink" Target="https://my.zakupivli.pro/remote/dispatcher/state_purchase_view/66591113" TargetMode="External"/><Relationship Id="rId371" Type="http://schemas.openxmlformats.org/officeDocument/2006/relationships/hyperlink" Target="https://my.zakupivli.pro/remote/dispatcher/state_purchase_view/63558883" TargetMode="External"/><Relationship Id="rId469" Type="http://schemas.openxmlformats.org/officeDocument/2006/relationships/hyperlink" Target="https://my.zakupivli.pro/remote/dispatcher/state_purchase_view/62039724" TargetMode="External"/><Relationship Id="rId676" Type="http://schemas.openxmlformats.org/officeDocument/2006/relationships/hyperlink" Target="https://my.zakupivli.pro/remote/dispatcher/state_purchase_view/59115431" TargetMode="External"/><Relationship Id="rId883" Type="http://schemas.openxmlformats.org/officeDocument/2006/relationships/hyperlink" Target="https://my.zakupivli.pro/remote/dispatcher/state_purchase_view/56697822" TargetMode="External"/><Relationship Id="rId26" Type="http://schemas.openxmlformats.org/officeDocument/2006/relationships/hyperlink" Target="https://my.zakupivli.pro/remote/dispatcher/state_purchase_view/68369578" TargetMode="External"/><Relationship Id="rId231" Type="http://schemas.openxmlformats.org/officeDocument/2006/relationships/hyperlink" Target="https://my.zakupivli.pro/remote/dispatcher/state_purchase_view/65923244" TargetMode="External"/><Relationship Id="rId329" Type="http://schemas.openxmlformats.org/officeDocument/2006/relationships/hyperlink" Target="https://my.zakupivli.pro/remote/dispatcher/state_purchase_view/64899056" TargetMode="External"/><Relationship Id="rId536" Type="http://schemas.openxmlformats.org/officeDocument/2006/relationships/hyperlink" Target="https://my.zakupivli.pro/remote/dispatcher/state_purchase_view/61171766" TargetMode="External"/><Relationship Id="rId175" Type="http://schemas.openxmlformats.org/officeDocument/2006/relationships/hyperlink" Target="https://my.zakupivli.pro/remote/dispatcher/state_purchase_view/66476246" TargetMode="External"/><Relationship Id="rId743" Type="http://schemas.openxmlformats.org/officeDocument/2006/relationships/hyperlink" Target="https://my.zakupivli.pro/remote/dispatcher/state_purchase_view/58319412" TargetMode="External"/><Relationship Id="rId950" Type="http://schemas.openxmlformats.org/officeDocument/2006/relationships/hyperlink" Target="https://my.zakupivli.pro/remote/dispatcher/state_purchase_view/56380990" TargetMode="External"/><Relationship Id="rId382" Type="http://schemas.openxmlformats.org/officeDocument/2006/relationships/hyperlink" Target="https://my.zakupivli.pro/remote/dispatcher/state_purchase_view/63188860" TargetMode="External"/><Relationship Id="rId603" Type="http://schemas.openxmlformats.org/officeDocument/2006/relationships/hyperlink" Target="https://my.zakupivli.pro/remote/dispatcher/state_purchase_view/60312176" TargetMode="External"/><Relationship Id="rId687" Type="http://schemas.openxmlformats.org/officeDocument/2006/relationships/hyperlink" Target="https://my.zakupivli.pro/remote/dispatcher/state_purchase_view/59013951" TargetMode="External"/><Relationship Id="rId810" Type="http://schemas.openxmlformats.org/officeDocument/2006/relationships/hyperlink" Target="https://my.zakupivli.pro/remote/dispatcher/state_purchase_view/57505509" TargetMode="External"/><Relationship Id="rId908" Type="http://schemas.openxmlformats.org/officeDocument/2006/relationships/hyperlink" Target="https://my.zakupivli.pro/remote/dispatcher/state_purchase_view/56546465" TargetMode="External"/><Relationship Id="rId242" Type="http://schemas.openxmlformats.org/officeDocument/2006/relationships/hyperlink" Target="https://my.zakupivli.pro/remote/dispatcher/state_purchase_view/65885481" TargetMode="External"/><Relationship Id="rId894" Type="http://schemas.openxmlformats.org/officeDocument/2006/relationships/hyperlink" Target="https://my.zakupivli.pro/remote/dispatcher/state_purchase_view/56654439" TargetMode="External"/><Relationship Id="rId37" Type="http://schemas.openxmlformats.org/officeDocument/2006/relationships/hyperlink" Target="https://my.zakupivli.pro/remote/dispatcher/state_purchase_view/68303107" TargetMode="External"/><Relationship Id="rId102" Type="http://schemas.openxmlformats.org/officeDocument/2006/relationships/hyperlink" Target="https://my.zakupivli.pro/remote/dispatcher/state_purchase_view/67354212" TargetMode="External"/><Relationship Id="rId547" Type="http://schemas.openxmlformats.org/officeDocument/2006/relationships/hyperlink" Target="https://my.zakupivli.pro/remote/dispatcher/state_purchase_view/61089474" TargetMode="External"/><Relationship Id="rId754" Type="http://schemas.openxmlformats.org/officeDocument/2006/relationships/hyperlink" Target="https://my.zakupivli.pro/remote/dispatcher/state_purchase_view/58165307" TargetMode="External"/><Relationship Id="rId961" Type="http://schemas.openxmlformats.org/officeDocument/2006/relationships/hyperlink" Target="https://my.zakupivli.pro/remote/dispatcher/state_purchase_view/56290126" TargetMode="External"/><Relationship Id="rId90" Type="http://schemas.openxmlformats.org/officeDocument/2006/relationships/hyperlink" Target="https://my.zakupivli.pro/remote/dispatcher/state_purchase_view/67477385" TargetMode="External"/><Relationship Id="rId186" Type="http://schemas.openxmlformats.org/officeDocument/2006/relationships/hyperlink" Target="https://my.zakupivli.pro/remote/dispatcher/state_purchase_view/66392312" TargetMode="External"/><Relationship Id="rId393" Type="http://schemas.openxmlformats.org/officeDocument/2006/relationships/hyperlink" Target="https://my.zakupivli.pro/remote/dispatcher/state_purchase_view/63035972" TargetMode="External"/><Relationship Id="rId407" Type="http://schemas.openxmlformats.org/officeDocument/2006/relationships/hyperlink" Target="https://my.zakupivli.pro/remote/dispatcher/state_purchase_view/62844363" TargetMode="External"/><Relationship Id="rId614" Type="http://schemas.openxmlformats.org/officeDocument/2006/relationships/hyperlink" Target="https://my.zakupivli.pro/remote/dispatcher/state_purchase_view/60215129" TargetMode="External"/><Relationship Id="rId821" Type="http://schemas.openxmlformats.org/officeDocument/2006/relationships/hyperlink" Target="https://my.zakupivli.pro/remote/dispatcher/state_purchase_view/57393674" TargetMode="External"/><Relationship Id="rId253" Type="http://schemas.openxmlformats.org/officeDocument/2006/relationships/hyperlink" Target="https://my.zakupivli.pro/remote/dispatcher/state_purchase_view/65844646" TargetMode="External"/><Relationship Id="rId460" Type="http://schemas.openxmlformats.org/officeDocument/2006/relationships/hyperlink" Target="https://my.zakupivli.pro/remote/dispatcher/state_purchase_view/62083741" TargetMode="External"/><Relationship Id="rId698" Type="http://schemas.openxmlformats.org/officeDocument/2006/relationships/hyperlink" Target="https://my.zakupivli.pro/remote/dispatcher/state_purchase_view/58875244" TargetMode="External"/><Relationship Id="rId919" Type="http://schemas.openxmlformats.org/officeDocument/2006/relationships/hyperlink" Target="https://my.zakupivli.pro/remote/dispatcher/state_purchase_view/56506156" TargetMode="External"/><Relationship Id="rId48" Type="http://schemas.openxmlformats.org/officeDocument/2006/relationships/hyperlink" Target="https://my.zakupivli.pro/remote/dispatcher/state_purchase_view/68201532" TargetMode="External"/><Relationship Id="rId113" Type="http://schemas.openxmlformats.org/officeDocument/2006/relationships/hyperlink" Target="https://my.zakupivli.pro/remote/dispatcher/state_purchase_view/67231955" TargetMode="External"/><Relationship Id="rId320" Type="http://schemas.openxmlformats.org/officeDocument/2006/relationships/hyperlink" Target="https://my.zakupivli.pro/remote/dispatcher/state_purchase_view/65097338" TargetMode="External"/><Relationship Id="rId558" Type="http://schemas.openxmlformats.org/officeDocument/2006/relationships/hyperlink" Target="https://my.zakupivli.pro/remote/dispatcher/state_purchase_view/60849544" TargetMode="External"/><Relationship Id="rId765" Type="http://schemas.openxmlformats.org/officeDocument/2006/relationships/hyperlink" Target="https://my.zakupivli.pro/remote/dispatcher/state_purchase_view/58049419" TargetMode="External"/><Relationship Id="rId972" Type="http://schemas.openxmlformats.org/officeDocument/2006/relationships/hyperlink" Target="https://my.zakupivli.pro/remote/dispatcher/state_purchase_view/56034655" TargetMode="External"/><Relationship Id="rId197" Type="http://schemas.openxmlformats.org/officeDocument/2006/relationships/hyperlink" Target="https://my.zakupivli.pro/remote/dispatcher/state_purchase_view/66231716" TargetMode="External"/><Relationship Id="rId418" Type="http://schemas.openxmlformats.org/officeDocument/2006/relationships/hyperlink" Target="https://my.zakupivli.pro/remote/dispatcher/state_purchase_view/62540353" TargetMode="External"/><Relationship Id="rId625" Type="http://schemas.openxmlformats.org/officeDocument/2006/relationships/hyperlink" Target="https://my.zakupivli.pro/remote/dispatcher/state_purchase_view/60198661" TargetMode="External"/><Relationship Id="rId832" Type="http://schemas.openxmlformats.org/officeDocument/2006/relationships/hyperlink" Target="https://my.zakupivli.pro/remote/dispatcher/state_purchase_view/57263547" TargetMode="External"/><Relationship Id="rId264" Type="http://schemas.openxmlformats.org/officeDocument/2006/relationships/hyperlink" Target="https://my.zakupivli.pro/remote/dispatcher/state_purchase_view/65674729" TargetMode="External"/><Relationship Id="rId471" Type="http://schemas.openxmlformats.org/officeDocument/2006/relationships/hyperlink" Target="https://my.zakupivli.pro/remote/dispatcher/state_purchase_view/61963237" TargetMode="External"/><Relationship Id="rId59" Type="http://schemas.openxmlformats.org/officeDocument/2006/relationships/hyperlink" Target="https://my.zakupivli.pro/remote/dispatcher/state_purchase_view/67973896" TargetMode="External"/><Relationship Id="rId124" Type="http://schemas.openxmlformats.org/officeDocument/2006/relationships/hyperlink" Target="https://my.zakupivli.pro/remote/dispatcher/state_purchase_view/67110439" TargetMode="External"/><Relationship Id="rId569" Type="http://schemas.openxmlformats.org/officeDocument/2006/relationships/hyperlink" Target="https://my.zakupivli.pro/remote/dispatcher/state_purchase_view/60697849" TargetMode="External"/><Relationship Id="rId776" Type="http://schemas.openxmlformats.org/officeDocument/2006/relationships/hyperlink" Target="https://my.zakupivli.pro/remote/dispatcher/state_purchase_view/57857868" TargetMode="External"/><Relationship Id="rId983" Type="http://schemas.openxmlformats.org/officeDocument/2006/relationships/hyperlink" Target="https://my.zakupivli.pro/remote/dispatcher/state_purchase_view/55620556" TargetMode="External"/><Relationship Id="rId331" Type="http://schemas.openxmlformats.org/officeDocument/2006/relationships/hyperlink" Target="https://my.zakupivli.pro/remote/dispatcher/state_purchase_view/64822764" TargetMode="External"/><Relationship Id="rId429" Type="http://schemas.openxmlformats.org/officeDocument/2006/relationships/hyperlink" Target="https://my.zakupivli.pro/remote/dispatcher/state_purchase_view/62460527" TargetMode="External"/><Relationship Id="rId636" Type="http://schemas.openxmlformats.org/officeDocument/2006/relationships/hyperlink" Target="https://my.zakupivli.pro/remote/dispatcher/state_purchase_view/60031328" TargetMode="External"/><Relationship Id="rId843" Type="http://schemas.openxmlformats.org/officeDocument/2006/relationships/hyperlink" Target="https://my.zakupivli.pro/remote/dispatcher/state_purchase_view/57077565" TargetMode="External"/><Relationship Id="rId275" Type="http://schemas.openxmlformats.org/officeDocument/2006/relationships/hyperlink" Target="https://my.zakupivli.pro/remote/dispatcher/state_purchase_view/65547845" TargetMode="External"/><Relationship Id="rId482" Type="http://schemas.openxmlformats.org/officeDocument/2006/relationships/hyperlink" Target="https://my.zakupivli.pro/remote/dispatcher/state_purchase_view/61858665" TargetMode="External"/><Relationship Id="rId703" Type="http://schemas.openxmlformats.org/officeDocument/2006/relationships/hyperlink" Target="https://my.zakupivli.pro/remote/dispatcher/state_purchase_view/58874358" TargetMode="External"/><Relationship Id="rId910" Type="http://schemas.openxmlformats.org/officeDocument/2006/relationships/hyperlink" Target="https://my.zakupivli.pro/remote/dispatcher/state_purchase_view/56545461" TargetMode="External"/><Relationship Id="rId135" Type="http://schemas.openxmlformats.org/officeDocument/2006/relationships/hyperlink" Target="https://my.zakupivli.pro/remote/dispatcher/state_purchase_view/67006777" TargetMode="External"/><Relationship Id="rId342" Type="http://schemas.openxmlformats.org/officeDocument/2006/relationships/hyperlink" Target="https://my.zakupivli.pro/remote/dispatcher/state_purchase_view/64429365" TargetMode="External"/><Relationship Id="rId787" Type="http://schemas.openxmlformats.org/officeDocument/2006/relationships/hyperlink" Target="https://my.zakupivli.pro/remote/dispatcher/state_purchase_view/57694863" TargetMode="External"/><Relationship Id="rId994" Type="http://schemas.openxmlformats.org/officeDocument/2006/relationships/hyperlink" Target="https://my.zakupivli.pro/remote/dispatcher/state_purchase_view/55339955" TargetMode="External"/><Relationship Id="rId202" Type="http://schemas.openxmlformats.org/officeDocument/2006/relationships/hyperlink" Target="https://my.zakupivli.pro/remote/dispatcher/state_purchase_view/66162808" TargetMode="External"/><Relationship Id="rId647" Type="http://schemas.openxmlformats.org/officeDocument/2006/relationships/hyperlink" Target="https://my.zakupivli.pro/remote/dispatcher/state_purchase_view/59876588" TargetMode="External"/><Relationship Id="rId854" Type="http://schemas.openxmlformats.org/officeDocument/2006/relationships/hyperlink" Target="https://my.zakupivli.pro/remote/dispatcher/state_purchase_view/56899698" TargetMode="External"/><Relationship Id="rId286" Type="http://schemas.openxmlformats.org/officeDocument/2006/relationships/hyperlink" Target="https://my.zakupivli.pro/remote/dispatcher/state_purchase_view/65462976" TargetMode="External"/><Relationship Id="rId493" Type="http://schemas.openxmlformats.org/officeDocument/2006/relationships/hyperlink" Target="https://my.zakupivli.pro/remote/dispatcher/state_purchase_view/61722206" TargetMode="External"/><Relationship Id="rId507" Type="http://schemas.openxmlformats.org/officeDocument/2006/relationships/hyperlink" Target="https://my.zakupivli.pro/remote/dispatcher/state_purchase_view/61551082" TargetMode="External"/><Relationship Id="rId714" Type="http://schemas.openxmlformats.org/officeDocument/2006/relationships/hyperlink" Target="https://my.zakupivli.pro/remote/dispatcher/state_purchase_view/58691793" TargetMode="External"/><Relationship Id="rId921" Type="http://schemas.openxmlformats.org/officeDocument/2006/relationships/hyperlink" Target="https://my.zakupivli.pro/remote/dispatcher/state_purchase_view/56458883" TargetMode="External"/><Relationship Id="rId50" Type="http://schemas.openxmlformats.org/officeDocument/2006/relationships/hyperlink" Target="https://my.zakupivli.pro/remote/dispatcher/state_purchase_view/68200478" TargetMode="External"/><Relationship Id="rId146" Type="http://schemas.openxmlformats.org/officeDocument/2006/relationships/hyperlink" Target="https://my.zakupivli.pro/remote/dispatcher/state_purchase_view/66876106" TargetMode="External"/><Relationship Id="rId353" Type="http://schemas.openxmlformats.org/officeDocument/2006/relationships/hyperlink" Target="https://my.zakupivli.pro/remote/dispatcher/state_purchase_view/63972350" TargetMode="External"/><Relationship Id="rId560" Type="http://schemas.openxmlformats.org/officeDocument/2006/relationships/hyperlink" Target="https://my.zakupivli.pro/remote/dispatcher/state_purchase_view/60845051" TargetMode="External"/><Relationship Id="rId798" Type="http://schemas.openxmlformats.org/officeDocument/2006/relationships/hyperlink" Target="https://my.zakupivli.pro/remote/dispatcher/state_purchase_view/57638113" TargetMode="External"/><Relationship Id="rId213" Type="http://schemas.openxmlformats.org/officeDocument/2006/relationships/hyperlink" Target="https://my.zakupivli.pro/remote/dispatcher/state_purchase_view/66062374" TargetMode="External"/><Relationship Id="rId420" Type="http://schemas.openxmlformats.org/officeDocument/2006/relationships/hyperlink" Target="https://my.zakupivli.pro/remote/dispatcher/state_purchase_view/62537644" TargetMode="External"/><Relationship Id="rId658" Type="http://schemas.openxmlformats.org/officeDocument/2006/relationships/hyperlink" Target="https://my.zakupivli.pro/remote/dispatcher/state_purchase_view/59567446" TargetMode="External"/><Relationship Id="rId865" Type="http://schemas.openxmlformats.org/officeDocument/2006/relationships/hyperlink" Target="https://my.zakupivli.pro/remote/dispatcher/state_purchase_view/56826863" TargetMode="External"/><Relationship Id="rId297" Type="http://schemas.openxmlformats.org/officeDocument/2006/relationships/hyperlink" Target="https://my.zakupivli.pro/remote/dispatcher/state_purchase_view/65238608" TargetMode="External"/><Relationship Id="rId518" Type="http://schemas.openxmlformats.org/officeDocument/2006/relationships/hyperlink" Target="https://my.zakupivli.pro/remote/dispatcher/state_purchase_view/61357034" TargetMode="External"/><Relationship Id="rId725" Type="http://schemas.openxmlformats.org/officeDocument/2006/relationships/hyperlink" Target="https://my.zakupivli.pro/remote/dispatcher/state_purchase_view/58560998" TargetMode="External"/><Relationship Id="rId932" Type="http://schemas.openxmlformats.org/officeDocument/2006/relationships/hyperlink" Target="https://my.zakupivli.pro/remote/dispatcher/state_purchase_view/56433549" TargetMode="External"/><Relationship Id="rId157" Type="http://schemas.openxmlformats.org/officeDocument/2006/relationships/hyperlink" Target="https://my.zakupivli.pro/remote/dispatcher/state_purchase_view/66658715" TargetMode="External"/><Relationship Id="rId364" Type="http://schemas.openxmlformats.org/officeDocument/2006/relationships/hyperlink" Target="https://my.zakupivli.pro/remote/dispatcher/state_purchase_view/63606388" TargetMode="External"/><Relationship Id="rId61" Type="http://schemas.openxmlformats.org/officeDocument/2006/relationships/hyperlink" Target="https://my.zakupivli.pro/remote/dispatcher/state_purchase_view/67908058" TargetMode="External"/><Relationship Id="rId571" Type="http://schemas.openxmlformats.org/officeDocument/2006/relationships/hyperlink" Target="https://my.zakupivli.pro/remote/dispatcher/state_purchase_view/60650553" TargetMode="External"/><Relationship Id="rId669" Type="http://schemas.openxmlformats.org/officeDocument/2006/relationships/hyperlink" Target="https://my.zakupivli.pro/remote/dispatcher/state_purchase_view/59298069" TargetMode="External"/><Relationship Id="rId876" Type="http://schemas.openxmlformats.org/officeDocument/2006/relationships/hyperlink" Target="https://my.zakupivli.pro/remote/dispatcher/state_purchase_view/56735420" TargetMode="External"/><Relationship Id="rId19" Type="http://schemas.openxmlformats.org/officeDocument/2006/relationships/hyperlink" Target="https://my.zakupivli.pro/remote/dispatcher/state_purchase_view/68437752" TargetMode="External"/><Relationship Id="rId224" Type="http://schemas.openxmlformats.org/officeDocument/2006/relationships/hyperlink" Target="https://my.zakupivli.pro/remote/dispatcher/state_purchase_view/65925814" TargetMode="External"/><Relationship Id="rId431" Type="http://schemas.openxmlformats.org/officeDocument/2006/relationships/hyperlink" Target="https://my.zakupivli.pro/remote/dispatcher/state_purchase_view/62458397" TargetMode="External"/><Relationship Id="rId529" Type="http://schemas.openxmlformats.org/officeDocument/2006/relationships/hyperlink" Target="https://my.zakupivli.pro/remote/dispatcher/state_purchase_view/61220626" TargetMode="External"/><Relationship Id="rId736" Type="http://schemas.openxmlformats.org/officeDocument/2006/relationships/hyperlink" Target="https://my.zakupivli.pro/remote/dispatcher/state_purchase_view/58373881" TargetMode="External"/><Relationship Id="rId168" Type="http://schemas.openxmlformats.org/officeDocument/2006/relationships/hyperlink" Target="https://my.zakupivli.pro/remote/dispatcher/state_purchase_view/66518792" TargetMode="External"/><Relationship Id="rId943" Type="http://schemas.openxmlformats.org/officeDocument/2006/relationships/hyperlink" Target="https://my.zakupivli.pro/remote/dispatcher/state_purchase_view/56400517" TargetMode="External"/><Relationship Id="rId72" Type="http://schemas.openxmlformats.org/officeDocument/2006/relationships/hyperlink" Target="https://my.zakupivli.pro/remote/dispatcher/state_purchase_view/67790101" TargetMode="External"/><Relationship Id="rId375" Type="http://schemas.openxmlformats.org/officeDocument/2006/relationships/hyperlink" Target="https://my.zakupivli.pro/remote/dispatcher/state_purchase_view/63272371" TargetMode="External"/><Relationship Id="rId582" Type="http://schemas.openxmlformats.org/officeDocument/2006/relationships/hyperlink" Target="https://my.zakupivli.pro/remote/dispatcher/state_purchase_view/60561145" TargetMode="External"/><Relationship Id="rId803" Type="http://schemas.openxmlformats.org/officeDocument/2006/relationships/hyperlink" Target="https://my.zakupivli.pro/remote/dispatcher/state_purchase_view/57594065" TargetMode="External"/><Relationship Id="rId3" Type="http://schemas.openxmlformats.org/officeDocument/2006/relationships/hyperlink" Target="https://my.zakupivli.pro/remote/dispatcher/state_purchase_view/68556599" TargetMode="External"/><Relationship Id="rId235" Type="http://schemas.openxmlformats.org/officeDocument/2006/relationships/hyperlink" Target="https://my.zakupivli.pro/remote/dispatcher/state_purchase_view/65916967" TargetMode="External"/><Relationship Id="rId442" Type="http://schemas.openxmlformats.org/officeDocument/2006/relationships/hyperlink" Target="https://my.zakupivli.pro/remote/dispatcher/state_purchase_view/62315827" TargetMode="External"/><Relationship Id="rId887" Type="http://schemas.openxmlformats.org/officeDocument/2006/relationships/hyperlink" Target="https://my.zakupivli.pro/remote/dispatcher/state_purchase_view/56691308" TargetMode="External"/><Relationship Id="rId302" Type="http://schemas.openxmlformats.org/officeDocument/2006/relationships/hyperlink" Target="https://my.zakupivli.pro/remote/dispatcher/state_purchase_view/65144264" TargetMode="External"/><Relationship Id="rId747" Type="http://schemas.openxmlformats.org/officeDocument/2006/relationships/hyperlink" Target="https://my.zakupivli.pro/remote/dispatcher/state_purchase_view/58260979" TargetMode="External"/><Relationship Id="rId954" Type="http://schemas.openxmlformats.org/officeDocument/2006/relationships/hyperlink" Target="https://my.zakupivli.pro/remote/dispatcher/state_purchase_view/5637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L1022"/>
  <sheetViews>
    <sheetView tabSelected="1" workbookViewId="0">
      <pane ySplit="6" topLeftCell="A1017" activePane="bottomLeft" state="frozen"/>
      <selection pane="bottomLeft" activeCell="I115" sqref="I115"/>
    </sheetView>
  </sheetViews>
  <sheetFormatPr defaultColWidth="11.42578125" defaultRowHeight="15" x14ac:dyDescent="0.25"/>
  <cols>
    <col min="1" max="1" width="5"/>
    <col min="2" max="2" width="25"/>
    <col min="3" max="4" width="35"/>
    <col min="5" max="5" width="30"/>
    <col min="6" max="6" width="15"/>
    <col min="7" max="7" width="20"/>
    <col min="8" max="10" width="15"/>
    <col min="11" max="11" width="20"/>
    <col min="12" max="12" width="15"/>
  </cols>
  <sheetData>
    <row r="1" spans="1:12" x14ac:dyDescent="0.25">
      <c r="A1" s="1" t="s">
        <v>2290</v>
      </c>
    </row>
    <row r="2" spans="1:12" x14ac:dyDescent="0.25">
      <c r="A2" s="2" t="s">
        <v>1355</v>
      </c>
    </row>
    <row r="4" spans="1:12" x14ac:dyDescent="0.25">
      <c r="A4" s="1" t="s">
        <v>2041</v>
      </c>
    </row>
    <row r="5" spans="1:12" ht="15.75" thickBot="1" x14ac:dyDescent="0.3">
      <c r="A5" s="1" t="s">
        <v>1437</v>
      </c>
    </row>
    <row r="6" spans="1:12" ht="39.75" thickBot="1" x14ac:dyDescent="0.3">
      <c r="A6" s="3" t="s">
        <v>2294</v>
      </c>
      <c r="B6" s="3" t="s">
        <v>1359</v>
      </c>
      <c r="C6" s="3" t="s">
        <v>1933</v>
      </c>
      <c r="D6" s="3" t="s">
        <v>1586</v>
      </c>
      <c r="E6" s="3" t="s">
        <v>1726</v>
      </c>
      <c r="F6" s="3" t="s">
        <v>1356</v>
      </c>
      <c r="G6" s="3" t="s">
        <v>2245</v>
      </c>
      <c r="H6" s="3" t="s">
        <v>1357</v>
      </c>
      <c r="I6" s="3" t="s">
        <v>1716</v>
      </c>
      <c r="J6" s="3" t="s">
        <v>2060</v>
      </c>
      <c r="K6" s="3" t="s">
        <v>1486</v>
      </c>
      <c r="L6" s="3" t="s">
        <v>1485</v>
      </c>
    </row>
    <row r="7" spans="1:12" ht="26.25" x14ac:dyDescent="0.25">
      <c r="A7" s="4">
        <v>1</v>
      </c>
      <c r="B7" s="2" t="str">
        <f>HYPERLINK("https://my.zakupivli.pro/remote/dispatcher/state_purchase_view/68557162", "UA-2026-05-29-008189-a")</f>
        <v>UA-2026-05-29-008189-a</v>
      </c>
      <c r="C7" s="8" t="s">
        <v>1816</v>
      </c>
      <c r="D7" s="1" t="s">
        <v>1251</v>
      </c>
      <c r="E7" s="1" t="s">
        <v>1553</v>
      </c>
      <c r="F7" s="1" t="s">
        <v>87</v>
      </c>
      <c r="G7" s="1" t="s">
        <v>1764</v>
      </c>
      <c r="H7" s="1" t="s">
        <v>105</v>
      </c>
      <c r="I7" s="9" t="s">
        <v>588</v>
      </c>
      <c r="J7" s="6">
        <v>31089.24</v>
      </c>
      <c r="K7" s="5">
        <v>46171</v>
      </c>
      <c r="L7" s="7">
        <v>46387</v>
      </c>
    </row>
    <row r="8" spans="1:12" ht="26.25" x14ac:dyDescent="0.25">
      <c r="A8" s="4">
        <v>2</v>
      </c>
      <c r="B8" s="2" t="str">
        <f>HYPERLINK("https://my.zakupivli.pro/remote/dispatcher/state_purchase_view/68556599", "UA-2026-05-29-007897-a")</f>
        <v>UA-2026-05-29-007897-a</v>
      </c>
      <c r="C8" s="8" t="s">
        <v>1673</v>
      </c>
      <c r="D8" s="1" t="s">
        <v>757</v>
      </c>
      <c r="E8" s="1" t="s">
        <v>1553</v>
      </c>
      <c r="F8" s="1" t="s">
        <v>87</v>
      </c>
      <c r="G8" s="1" t="s">
        <v>1379</v>
      </c>
      <c r="H8" s="1" t="s">
        <v>453</v>
      </c>
      <c r="I8" s="9" t="s">
        <v>406</v>
      </c>
      <c r="J8" s="6">
        <v>24802</v>
      </c>
      <c r="K8" s="5">
        <v>46163</v>
      </c>
      <c r="L8" s="7">
        <v>46387</v>
      </c>
    </row>
    <row r="9" spans="1:12" x14ac:dyDescent="0.25">
      <c r="A9" s="4">
        <v>3</v>
      </c>
      <c r="B9" s="2" t="str">
        <f>HYPERLINK("https://my.zakupivli.pro/remote/dispatcher/state_purchase_view/68556229", "UA-2026-05-29-007663-a")</f>
        <v>UA-2026-05-29-007663-a</v>
      </c>
      <c r="C9" s="8" t="s">
        <v>2247</v>
      </c>
      <c r="D9" s="1" t="s">
        <v>1073</v>
      </c>
      <c r="E9" s="1" t="s">
        <v>1553</v>
      </c>
      <c r="F9" s="1" t="s">
        <v>87</v>
      </c>
      <c r="G9" s="1" t="s">
        <v>1772</v>
      </c>
      <c r="H9" s="1" t="s">
        <v>796</v>
      </c>
      <c r="I9" s="9" t="s">
        <v>408</v>
      </c>
      <c r="J9" s="6">
        <v>99145.16</v>
      </c>
      <c r="K9" s="5">
        <v>46170</v>
      </c>
      <c r="L9" s="7">
        <v>46387</v>
      </c>
    </row>
    <row r="10" spans="1:12" x14ac:dyDescent="0.25">
      <c r="A10" s="4">
        <v>4</v>
      </c>
      <c r="B10" s="2" t="str">
        <f>HYPERLINK("https://my.zakupivli.pro/remote/dispatcher/state_purchase_view/68533592", "UA-2026-05-28-010472-a")</f>
        <v>UA-2026-05-28-010472-a</v>
      </c>
      <c r="C10" s="8" t="s">
        <v>1388</v>
      </c>
      <c r="D10" s="1" t="s">
        <v>639</v>
      </c>
      <c r="E10" s="1" t="s">
        <v>1553</v>
      </c>
      <c r="F10" s="1" t="s">
        <v>87</v>
      </c>
      <c r="G10" s="1" t="s">
        <v>1743</v>
      </c>
      <c r="H10" s="1" t="s">
        <v>538</v>
      </c>
      <c r="I10" s="9" t="s">
        <v>420</v>
      </c>
      <c r="J10" s="6">
        <v>4160</v>
      </c>
      <c r="K10" s="5">
        <v>46170</v>
      </c>
      <c r="L10" s="7">
        <v>46387</v>
      </c>
    </row>
    <row r="11" spans="1:12" x14ac:dyDescent="0.25">
      <c r="A11" s="4">
        <v>5</v>
      </c>
      <c r="B11" s="2" t="str">
        <f>HYPERLINK("https://my.zakupivli.pro/remote/dispatcher/state_purchase_view/68533015", "UA-2026-05-28-010228-a")</f>
        <v>UA-2026-05-28-010228-a</v>
      </c>
      <c r="C11" s="8" t="s">
        <v>1729</v>
      </c>
      <c r="D11" s="1" t="s">
        <v>482</v>
      </c>
      <c r="E11" s="1" t="s">
        <v>1553</v>
      </c>
      <c r="F11" s="1" t="s">
        <v>87</v>
      </c>
      <c r="G11" s="1" t="s">
        <v>1416</v>
      </c>
      <c r="H11" s="1" t="s">
        <v>818</v>
      </c>
      <c r="I11" s="9" t="s">
        <v>418</v>
      </c>
      <c r="J11" s="6">
        <v>76040.600000000006</v>
      </c>
      <c r="K11" s="5">
        <v>46170</v>
      </c>
      <c r="L11" s="7">
        <v>46387</v>
      </c>
    </row>
    <row r="12" spans="1:12" x14ac:dyDescent="0.25">
      <c r="A12" s="4">
        <v>6</v>
      </c>
      <c r="B12" s="2" t="str">
        <f>HYPERLINK("https://my.zakupivli.pro/remote/dispatcher/state_purchase_view/68532244", "UA-2026-05-28-009858-a")</f>
        <v>UA-2026-05-28-009858-a</v>
      </c>
      <c r="C12" s="8" t="s">
        <v>1652</v>
      </c>
      <c r="D12" s="1" t="s">
        <v>857</v>
      </c>
      <c r="E12" s="1" t="s">
        <v>1553</v>
      </c>
      <c r="F12" s="1" t="s">
        <v>87</v>
      </c>
      <c r="G12" s="1" t="s">
        <v>1479</v>
      </c>
      <c r="H12" s="1" t="s">
        <v>794</v>
      </c>
      <c r="I12" s="9" t="s">
        <v>1338</v>
      </c>
      <c r="J12" s="6">
        <v>8128.6</v>
      </c>
      <c r="K12" s="5">
        <v>46170</v>
      </c>
      <c r="L12" s="7">
        <v>46387</v>
      </c>
    </row>
    <row r="13" spans="1:12" x14ac:dyDescent="0.25">
      <c r="A13" s="4">
        <v>7</v>
      </c>
      <c r="B13" s="2" t="str">
        <f>HYPERLINK("https://my.zakupivli.pro/remote/dispatcher/state_purchase_view/68531759", "UA-2026-05-28-009645-a")</f>
        <v>UA-2026-05-28-009645-a</v>
      </c>
      <c r="C13" s="8" t="s">
        <v>6</v>
      </c>
      <c r="D13" s="1" t="s">
        <v>635</v>
      </c>
      <c r="E13" s="1" t="s">
        <v>1553</v>
      </c>
      <c r="F13" s="1" t="s">
        <v>87</v>
      </c>
      <c r="G13" s="1" t="s">
        <v>1623</v>
      </c>
      <c r="H13" s="1" t="s">
        <v>579</v>
      </c>
      <c r="I13" s="9" t="s">
        <v>415</v>
      </c>
      <c r="J13" s="6">
        <v>10000</v>
      </c>
      <c r="K13" s="5">
        <v>46170</v>
      </c>
      <c r="L13" s="7">
        <v>46387</v>
      </c>
    </row>
    <row r="14" spans="1:12" x14ac:dyDescent="0.25">
      <c r="A14" s="4">
        <v>8</v>
      </c>
      <c r="B14" s="2" t="str">
        <f>HYPERLINK("https://my.zakupivli.pro/remote/dispatcher/state_purchase_view/68525812", "UA-2026-05-28-006938-a")</f>
        <v>UA-2026-05-28-006938-a</v>
      </c>
      <c r="C14" s="8" t="s">
        <v>1926</v>
      </c>
      <c r="D14" s="1" t="s">
        <v>1264</v>
      </c>
      <c r="E14" s="1" t="s">
        <v>1553</v>
      </c>
      <c r="F14" s="1" t="s">
        <v>87</v>
      </c>
      <c r="G14" s="1" t="s">
        <v>1378</v>
      </c>
      <c r="H14" s="1" t="s">
        <v>745</v>
      </c>
      <c r="I14" s="9" t="s">
        <v>148</v>
      </c>
      <c r="J14" s="6">
        <v>27200</v>
      </c>
      <c r="K14" s="5">
        <v>46170</v>
      </c>
      <c r="L14" s="7">
        <v>46387</v>
      </c>
    </row>
    <row r="15" spans="1:12" hidden="1" x14ac:dyDescent="0.25">
      <c r="A15" s="4">
        <v>9</v>
      </c>
      <c r="B15" s="2" t="str">
        <f>HYPERLINK("https://my.zakupivli.pro/remote/dispatcher/state_purchase_view/68504679", "UA-2026-05-27-012038-a")</f>
        <v>UA-2026-05-27-012038-a</v>
      </c>
      <c r="C15" s="1" t="s">
        <v>1493</v>
      </c>
      <c r="D15" s="1" t="s">
        <v>702</v>
      </c>
      <c r="E15" s="1" t="s">
        <v>1553</v>
      </c>
      <c r="F15" s="1" t="s">
        <v>87</v>
      </c>
      <c r="G15" s="1"/>
      <c r="H15" s="1"/>
      <c r="I15" s="1"/>
      <c r="J15" s="1"/>
      <c r="K15" s="1" t="s">
        <v>53</v>
      </c>
      <c r="L15" s="1"/>
    </row>
    <row r="16" spans="1:12" ht="26.25" x14ac:dyDescent="0.25">
      <c r="A16" s="4">
        <v>9</v>
      </c>
      <c r="B16" s="2" t="str">
        <f>HYPERLINK("https://my.zakupivli.pro/remote/dispatcher/state_purchase_view/68496742", "UA-2026-05-27-008558-a")</f>
        <v>UA-2026-05-27-008558-a</v>
      </c>
      <c r="C16" s="8" t="s">
        <v>2027</v>
      </c>
      <c r="D16" s="1" t="s">
        <v>880</v>
      </c>
      <c r="E16" s="1" t="s">
        <v>1553</v>
      </c>
      <c r="F16" s="1" t="s">
        <v>87</v>
      </c>
      <c r="G16" s="1" t="s">
        <v>1623</v>
      </c>
      <c r="H16" s="1" t="s">
        <v>579</v>
      </c>
      <c r="I16" s="9" t="s">
        <v>411</v>
      </c>
      <c r="J16" s="6">
        <v>8425</v>
      </c>
      <c r="K16" s="5">
        <v>46169</v>
      </c>
      <c r="L16" s="7">
        <v>46387</v>
      </c>
    </row>
    <row r="17" spans="1:12" x14ac:dyDescent="0.25">
      <c r="A17" s="4">
        <v>10</v>
      </c>
      <c r="B17" s="2" t="str">
        <f>HYPERLINK("https://my.zakupivli.pro/remote/dispatcher/state_purchase_view/68496304", "UA-2026-05-27-008312-a")</f>
        <v>UA-2026-05-27-008312-a</v>
      </c>
      <c r="C17" s="8" t="s">
        <v>1460</v>
      </c>
      <c r="D17" s="1" t="s">
        <v>635</v>
      </c>
      <c r="E17" s="1" t="s">
        <v>1553</v>
      </c>
      <c r="F17" s="1" t="s">
        <v>87</v>
      </c>
      <c r="G17" s="1" t="s">
        <v>1623</v>
      </c>
      <c r="H17" s="1" t="s">
        <v>579</v>
      </c>
      <c r="I17" s="9" t="s">
        <v>413</v>
      </c>
      <c r="J17" s="6">
        <v>750</v>
      </c>
      <c r="K17" s="5">
        <v>46169</v>
      </c>
      <c r="L17" s="7">
        <v>46387</v>
      </c>
    </row>
    <row r="18" spans="1:12" hidden="1" x14ac:dyDescent="0.25">
      <c r="A18" s="4">
        <v>12</v>
      </c>
      <c r="B18" s="2" t="str">
        <f>HYPERLINK("https://my.zakupivli.pro/remote/dispatcher/state_purchase_view/68493963", "UA-2026-05-27-007361-a")</f>
        <v>UA-2026-05-27-007361-a</v>
      </c>
      <c r="C18" s="1" t="s">
        <v>2028</v>
      </c>
      <c r="D18" s="1" t="s">
        <v>701</v>
      </c>
      <c r="E18" s="1" t="s">
        <v>1553</v>
      </c>
      <c r="F18" s="1" t="s">
        <v>87</v>
      </c>
      <c r="G18" s="1" t="s">
        <v>2230</v>
      </c>
      <c r="H18" s="1" t="s">
        <v>595</v>
      </c>
      <c r="I18" s="1"/>
      <c r="J18" s="6">
        <v>492060</v>
      </c>
      <c r="K18" s="1" t="s">
        <v>53</v>
      </c>
      <c r="L18" s="1"/>
    </row>
    <row r="19" spans="1:12" hidden="1" x14ac:dyDescent="0.25">
      <c r="A19" s="4">
        <v>13</v>
      </c>
      <c r="B19" s="2" t="str">
        <f>HYPERLINK("https://my.zakupivli.pro/remote/dispatcher/state_purchase_view/68490708", "UA-2026-05-27-005884-a")</f>
        <v>UA-2026-05-27-005884-a</v>
      </c>
      <c r="C19" s="1" t="s">
        <v>2065</v>
      </c>
      <c r="D19" s="1" t="s">
        <v>699</v>
      </c>
      <c r="E19" s="1" t="s">
        <v>1553</v>
      </c>
      <c r="F19" s="1" t="s">
        <v>87</v>
      </c>
      <c r="G19" s="1" t="s">
        <v>2077</v>
      </c>
      <c r="H19" s="1" t="s">
        <v>1050</v>
      </c>
      <c r="I19" s="1"/>
      <c r="J19" s="6">
        <v>287830</v>
      </c>
      <c r="K19" s="1" t="s">
        <v>53</v>
      </c>
      <c r="L19" s="1"/>
    </row>
    <row r="20" spans="1:12" hidden="1" x14ac:dyDescent="0.25">
      <c r="A20" s="4">
        <v>14</v>
      </c>
      <c r="B20" s="2" t="str">
        <f>HYPERLINK("https://my.zakupivli.pro/remote/dispatcher/state_purchase_view/68489510", "UA-2026-05-27-005415-a")</f>
        <v>UA-2026-05-27-005415-a</v>
      </c>
      <c r="C20" s="1" t="s">
        <v>1362</v>
      </c>
      <c r="D20" s="1" t="s">
        <v>699</v>
      </c>
      <c r="E20" s="1" t="s">
        <v>1553</v>
      </c>
      <c r="F20" s="1" t="s">
        <v>87</v>
      </c>
      <c r="G20" s="1" t="s">
        <v>2167</v>
      </c>
      <c r="H20" s="1" t="s">
        <v>1084</v>
      </c>
      <c r="I20" s="1"/>
      <c r="J20" s="6">
        <v>929380.6</v>
      </c>
      <c r="K20" s="1" t="s">
        <v>53</v>
      </c>
      <c r="L20" s="1"/>
    </row>
    <row r="21" spans="1:12" hidden="1" x14ac:dyDescent="0.25">
      <c r="A21" s="4">
        <v>15</v>
      </c>
      <c r="B21" s="2" t="str">
        <f>HYPERLINK("https://my.zakupivli.pro/remote/dispatcher/state_purchase_view/68487443", "UA-2026-05-27-004415-a")</f>
        <v>UA-2026-05-27-004415-a</v>
      </c>
      <c r="C21" s="1" t="s">
        <v>1576</v>
      </c>
      <c r="D21" s="1" t="s">
        <v>702</v>
      </c>
      <c r="E21" s="1" t="s">
        <v>1553</v>
      </c>
      <c r="F21" s="1" t="s">
        <v>87</v>
      </c>
      <c r="G21" s="1"/>
      <c r="H21" s="1"/>
      <c r="I21" s="1"/>
      <c r="J21" s="1"/>
      <c r="K21" s="1" t="s">
        <v>53</v>
      </c>
      <c r="L21" s="1"/>
    </row>
    <row r="22" spans="1:12" hidden="1" x14ac:dyDescent="0.25">
      <c r="A22" s="4">
        <v>16</v>
      </c>
      <c r="B22" s="2" t="str">
        <f>HYPERLINK("https://my.zakupivli.pro/remote/dispatcher/state_purchase_view/68483396", "UA-2026-05-27-002646-a")</f>
        <v>UA-2026-05-27-002646-a</v>
      </c>
      <c r="C22" s="1" t="s">
        <v>1632</v>
      </c>
      <c r="D22" s="1" t="s">
        <v>707</v>
      </c>
      <c r="E22" s="1" t="s">
        <v>1553</v>
      </c>
      <c r="F22" s="1" t="s">
        <v>87</v>
      </c>
      <c r="G22" s="1" t="s">
        <v>2237</v>
      </c>
      <c r="H22" s="1" t="s">
        <v>562</v>
      </c>
      <c r="I22" s="1"/>
      <c r="J22" s="6">
        <v>78296.800000000003</v>
      </c>
      <c r="K22" s="1" t="s">
        <v>53</v>
      </c>
      <c r="L22" s="1"/>
    </row>
    <row r="23" spans="1:12" ht="26.25" x14ac:dyDescent="0.25">
      <c r="A23" s="4">
        <v>11</v>
      </c>
      <c r="B23" s="2" t="str">
        <f>HYPERLINK("https://my.zakupivli.pro/remote/dispatcher/state_purchase_view/68469461", "UA-2026-05-26-011916-a")</f>
        <v>UA-2026-05-26-011916-a</v>
      </c>
      <c r="C23" s="8" t="s">
        <v>1908</v>
      </c>
      <c r="D23" s="1" t="s">
        <v>1324</v>
      </c>
      <c r="E23" s="1" t="s">
        <v>1553</v>
      </c>
      <c r="F23" s="1" t="s">
        <v>87</v>
      </c>
      <c r="G23" s="1" t="s">
        <v>1560</v>
      </c>
      <c r="H23" s="1" t="s">
        <v>108</v>
      </c>
      <c r="I23" s="9" t="s">
        <v>1193</v>
      </c>
      <c r="J23" s="6">
        <v>5247.83</v>
      </c>
      <c r="K23" s="5">
        <v>46168</v>
      </c>
      <c r="L23" s="7">
        <v>46387</v>
      </c>
    </row>
    <row r="24" spans="1:12" x14ac:dyDescent="0.25">
      <c r="A24" s="4">
        <v>12</v>
      </c>
      <c r="B24" s="2" t="str">
        <f>HYPERLINK("https://my.zakupivli.pro/remote/dispatcher/state_purchase_view/68437752", "UA-2026-05-25-012354-a")</f>
        <v>UA-2026-05-25-012354-a</v>
      </c>
      <c r="C24" s="8" t="s">
        <v>1591</v>
      </c>
      <c r="D24" s="1" t="s">
        <v>1247</v>
      </c>
      <c r="E24" s="1" t="s">
        <v>1553</v>
      </c>
      <c r="F24" s="1" t="s">
        <v>87</v>
      </c>
      <c r="G24" s="1" t="s">
        <v>2126</v>
      </c>
      <c r="H24" s="1" t="s">
        <v>694</v>
      </c>
      <c r="I24" s="9" t="s">
        <v>805</v>
      </c>
      <c r="J24" s="6">
        <v>96404.49</v>
      </c>
      <c r="K24" s="5">
        <v>46163</v>
      </c>
      <c r="L24" s="7">
        <v>46387</v>
      </c>
    </row>
    <row r="25" spans="1:12" x14ac:dyDescent="0.25">
      <c r="A25" s="4">
        <v>13</v>
      </c>
      <c r="B25" s="2" t="str">
        <f>HYPERLINK("https://my.zakupivli.pro/remote/dispatcher/state_purchase_view/68420182", "UA-2026-05-25-004601-a")</f>
        <v>UA-2026-05-25-004601-a</v>
      </c>
      <c r="C25" s="8" t="s">
        <v>2261</v>
      </c>
      <c r="D25" s="1" t="s">
        <v>269</v>
      </c>
      <c r="E25" s="1" t="s">
        <v>1553</v>
      </c>
      <c r="F25" s="1" t="s">
        <v>87</v>
      </c>
      <c r="G25" s="1" t="s">
        <v>2108</v>
      </c>
      <c r="H25" s="1" t="s">
        <v>846</v>
      </c>
      <c r="I25" s="9" t="s">
        <v>1740</v>
      </c>
      <c r="J25" s="6">
        <v>5070.24</v>
      </c>
      <c r="K25" s="5">
        <v>46164</v>
      </c>
      <c r="L25" s="7">
        <v>46387</v>
      </c>
    </row>
    <row r="26" spans="1:12" x14ac:dyDescent="0.25">
      <c r="A26" s="4">
        <v>14</v>
      </c>
      <c r="B26" s="2" t="str">
        <f>HYPERLINK("https://my.zakupivli.pro/remote/dispatcher/state_purchase_view/68419474", "UA-2026-05-25-004303-a")</f>
        <v>UA-2026-05-25-004303-a</v>
      </c>
      <c r="C26" s="8" t="s">
        <v>1792</v>
      </c>
      <c r="D26" s="1" t="s">
        <v>1246</v>
      </c>
      <c r="E26" s="1" t="s">
        <v>1553</v>
      </c>
      <c r="F26" s="1" t="s">
        <v>87</v>
      </c>
      <c r="G26" s="1" t="s">
        <v>1770</v>
      </c>
      <c r="H26" s="1" t="s">
        <v>1039</v>
      </c>
      <c r="I26" s="9" t="s">
        <v>129</v>
      </c>
      <c r="J26" s="6">
        <v>40200</v>
      </c>
      <c r="K26" s="5">
        <v>46162</v>
      </c>
      <c r="L26" s="7">
        <v>46387</v>
      </c>
    </row>
    <row r="27" spans="1:12" ht="39" x14ac:dyDescent="0.25">
      <c r="A27" s="4">
        <v>15</v>
      </c>
      <c r="B27" s="2" t="str">
        <f>B25</f>
        <v>UA-2026-05-25-004601-a</v>
      </c>
      <c r="C27" s="8" t="s">
        <v>34</v>
      </c>
      <c r="D27" s="1" t="s">
        <v>1160</v>
      </c>
      <c r="E27" s="1" t="s">
        <v>1553</v>
      </c>
      <c r="F27" s="1" t="s">
        <v>87</v>
      </c>
      <c r="G27" s="1" t="s">
        <v>1770</v>
      </c>
      <c r="H27" s="1" t="s">
        <v>1039</v>
      </c>
      <c r="I27" s="9" t="s">
        <v>355</v>
      </c>
      <c r="J27" s="6">
        <v>38400</v>
      </c>
      <c r="K27" s="5">
        <v>46162</v>
      </c>
      <c r="L27" s="7">
        <v>46387</v>
      </c>
    </row>
    <row r="28" spans="1:12" x14ac:dyDescent="0.25">
      <c r="A28" s="4">
        <v>16</v>
      </c>
      <c r="B28" s="2" t="str">
        <f>HYPERLINK("https://my.zakupivli.pro/remote/dispatcher/state_purchase_view/68398987", "UA-2026-05-22-008744-a")</f>
        <v>UA-2026-05-22-008744-a</v>
      </c>
      <c r="C28" s="8" t="s">
        <v>1496</v>
      </c>
      <c r="D28" s="1" t="s">
        <v>432</v>
      </c>
      <c r="E28" s="1" t="s">
        <v>1553</v>
      </c>
      <c r="F28" s="1" t="s">
        <v>87</v>
      </c>
      <c r="G28" s="1" t="s">
        <v>2018</v>
      </c>
      <c r="H28" s="1" t="s">
        <v>611</v>
      </c>
      <c r="I28" s="9" t="s">
        <v>407</v>
      </c>
      <c r="J28" s="6">
        <v>1200</v>
      </c>
      <c r="K28" s="5">
        <v>46164</v>
      </c>
      <c r="L28" s="7">
        <v>46387</v>
      </c>
    </row>
    <row r="29" spans="1:12" x14ac:dyDescent="0.25">
      <c r="A29" s="4">
        <v>17</v>
      </c>
      <c r="B29" s="2" t="str">
        <f>HYPERLINK("https://my.zakupivli.pro/remote/dispatcher/state_purchase_view/68370500", "UA-2026-05-21-009782-a")</f>
        <v>UA-2026-05-21-009782-a</v>
      </c>
      <c r="C29" s="8" t="s">
        <v>1682</v>
      </c>
      <c r="D29" s="1" t="s">
        <v>911</v>
      </c>
      <c r="E29" s="1" t="s">
        <v>1553</v>
      </c>
      <c r="F29" s="1" t="s">
        <v>87</v>
      </c>
      <c r="G29" s="1" t="s">
        <v>2018</v>
      </c>
      <c r="H29" s="1" t="s">
        <v>611</v>
      </c>
      <c r="I29" s="9" t="s">
        <v>404</v>
      </c>
      <c r="J29" s="6">
        <v>668</v>
      </c>
      <c r="K29" s="5">
        <v>46163</v>
      </c>
      <c r="L29" s="7">
        <v>46387</v>
      </c>
    </row>
    <row r="30" spans="1:12" ht="26.25" x14ac:dyDescent="0.25">
      <c r="A30" s="4">
        <v>18</v>
      </c>
      <c r="B30" s="2" t="str">
        <f>HYPERLINK("https://my.zakupivli.pro/remote/dispatcher/state_purchase_view/68369920", "UA-2026-05-21-009566-a")</f>
        <v>UA-2026-05-21-009566-a</v>
      </c>
      <c r="C30" s="8" t="s">
        <v>2253</v>
      </c>
      <c r="D30" s="1" t="s">
        <v>593</v>
      </c>
      <c r="E30" s="1" t="s">
        <v>1553</v>
      </c>
      <c r="F30" s="1" t="s">
        <v>87</v>
      </c>
      <c r="G30" s="1" t="s">
        <v>1743</v>
      </c>
      <c r="H30" s="1" t="s">
        <v>538</v>
      </c>
      <c r="I30" s="9" t="s">
        <v>395</v>
      </c>
      <c r="J30" s="6">
        <v>77700</v>
      </c>
      <c r="K30" s="5">
        <v>46163</v>
      </c>
      <c r="L30" s="7">
        <v>46387</v>
      </c>
    </row>
    <row r="31" spans="1:12" x14ac:dyDescent="0.25">
      <c r="A31" s="4">
        <v>19</v>
      </c>
      <c r="B31" s="2" t="str">
        <f>HYPERLINK("https://my.zakupivli.pro/remote/dispatcher/state_purchase_view/68369578", "UA-2026-05-21-009340-a")</f>
        <v>UA-2026-05-21-009340-a</v>
      </c>
      <c r="C31" s="8" t="s">
        <v>1365</v>
      </c>
      <c r="D31" s="1" t="s">
        <v>682</v>
      </c>
      <c r="E31" s="1" t="s">
        <v>1553</v>
      </c>
      <c r="F31" s="1" t="s">
        <v>87</v>
      </c>
      <c r="G31" s="1" t="s">
        <v>1743</v>
      </c>
      <c r="H31" s="1" t="s">
        <v>538</v>
      </c>
      <c r="I31" s="9" t="s">
        <v>402</v>
      </c>
      <c r="J31" s="6">
        <v>99000</v>
      </c>
      <c r="K31" s="5">
        <v>46163</v>
      </c>
      <c r="L31" s="7">
        <v>46387</v>
      </c>
    </row>
    <row r="32" spans="1:12" ht="26.25" x14ac:dyDescent="0.25">
      <c r="A32" s="4">
        <v>20</v>
      </c>
      <c r="B32" s="2" t="str">
        <f>HYPERLINK("https://my.zakupivli.pro/remote/dispatcher/state_purchase_view/68368939", "UA-2026-05-21-009073-a")</f>
        <v>UA-2026-05-21-009073-a</v>
      </c>
      <c r="C32" s="8" t="s">
        <v>1656</v>
      </c>
      <c r="D32" s="1" t="s">
        <v>598</v>
      </c>
      <c r="E32" s="1" t="s">
        <v>1553</v>
      </c>
      <c r="F32" s="1" t="s">
        <v>87</v>
      </c>
      <c r="G32" s="1" t="s">
        <v>1743</v>
      </c>
      <c r="H32" s="1" t="s">
        <v>538</v>
      </c>
      <c r="I32" s="9" t="s">
        <v>391</v>
      </c>
      <c r="J32" s="6">
        <v>99000</v>
      </c>
      <c r="K32" s="5">
        <v>46163</v>
      </c>
      <c r="L32" s="7">
        <v>46387</v>
      </c>
    </row>
    <row r="33" spans="1:12" ht="26.25" x14ac:dyDescent="0.25">
      <c r="A33" s="4">
        <v>21</v>
      </c>
      <c r="B33" s="2" t="str">
        <f>HYPERLINK("https://my.zakupivli.pro/remote/dispatcher/state_purchase_view/68364712", "UA-2026-05-21-007255-a")</f>
        <v>UA-2026-05-21-007255-a</v>
      </c>
      <c r="C33" s="8" t="s">
        <v>1912</v>
      </c>
      <c r="D33" s="1" t="s">
        <v>1276</v>
      </c>
      <c r="E33" s="1" t="s">
        <v>1553</v>
      </c>
      <c r="F33" s="1" t="s">
        <v>87</v>
      </c>
      <c r="G33" s="1" t="s">
        <v>130</v>
      </c>
      <c r="H33" s="1" t="s">
        <v>849</v>
      </c>
      <c r="I33" s="9" t="s">
        <v>878</v>
      </c>
      <c r="J33" s="6">
        <v>8397.34</v>
      </c>
      <c r="K33" s="5">
        <v>46163</v>
      </c>
      <c r="L33" s="7">
        <v>46387</v>
      </c>
    </row>
    <row r="34" spans="1:12" hidden="1" x14ac:dyDescent="0.25">
      <c r="A34" s="4">
        <v>28</v>
      </c>
      <c r="B34" s="2" t="str">
        <f>HYPERLINK("https://my.zakupivli.pro/remote/dispatcher/state_purchase_view/68344891", "UA-2026-05-20-013319-a")</f>
        <v>UA-2026-05-20-013319-a</v>
      </c>
      <c r="C34" s="1" t="s">
        <v>1708</v>
      </c>
      <c r="D34" s="1" t="s">
        <v>858</v>
      </c>
      <c r="E34" s="1" t="s">
        <v>1553</v>
      </c>
      <c r="F34" s="1" t="s">
        <v>87</v>
      </c>
      <c r="G34" s="1" t="s">
        <v>2238</v>
      </c>
      <c r="H34" s="1" t="s">
        <v>526</v>
      </c>
      <c r="I34" s="1"/>
      <c r="J34" s="6">
        <v>800</v>
      </c>
      <c r="K34" s="1" t="s">
        <v>53</v>
      </c>
      <c r="L34" s="1"/>
    </row>
    <row r="35" spans="1:12" hidden="1" x14ac:dyDescent="0.25">
      <c r="A35" s="4">
        <v>29</v>
      </c>
      <c r="B35" s="2" t="str">
        <f>HYPERLINK("https://my.zakupivli.pro/remote/dispatcher/state_purchase_view/68344529", "UA-2026-05-20-013120-a")</f>
        <v>UA-2026-05-20-013120-a</v>
      </c>
      <c r="C35" s="1" t="s">
        <v>1942</v>
      </c>
      <c r="D35" s="1" t="s">
        <v>702</v>
      </c>
      <c r="E35" s="1" t="s">
        <v>1553</v>
      </c>
      <c r="F35" s="1" t="s">
        <v>87</v>
      </c>
      <c r="G35" s="1" t="s">
        <v>2077</v>
      </c>
      <c r="H35" s="1" t="s">
        <v>1050</v>
      </c>
      <c r="I35" s="1"/>
      <c r="J35" s="6">
        <v>173800.1</v>
      </c>
      <c r="K35" s="1" t="s">
        <v>53</v>
      </c>
      <c r="L35" s="1"/>
    </row>
    <row r="36" spans="1:12" hidden="1" x14ac:dyDescent="0.25">
      <c r="A36" s="4">
        <v>30</v>
      </c>
      <c r="B36" s="2" t="str">
        <f>HYPERLINK("https://my.zakupivli.pro/remote/dispatcher/state_purchase_view/68339748", "UA-2026-05-20-011026-a")</f>
        <v>UA-2026-05-20-011026-a</v>
      </c>
      <c r="C36" s="1" t="s">
        <v>1502</v>
      </c>
      <c r="D36" s="1" t="s">
        <v>728</v>
      </c>
      <c r="E36" s="1" t="s">
        <v>1553</v>
      </c>
      <c r="F36" s="1" t="s">
        <v>87</v>
      </c>
      <c r="G36" s="1"/>
      <c r="H36" s="1"/>
      <c r="I36" s="1"/>
      <c r="J36" s="1"/>
      <c r="K36" s="1" t="s">
        <v>53</v>
      </c>
      <c r="L36" s="1"/>
    </row>
    <row r="37" spans="1:12" hidden="1" x14ac:dyDescent="0.25">
      <c r="A37" s="4">
        <v>31</v>
      </c>
      <c r="B37" s="2" t="str">
        <f>HYPERLINK("https://my.zakupivli.pro/remote/dispatcher/state_purchase_view/68332976", "UA-2026-05-20-007960-a")</f>
        <v>UA-2026-05-20-007960-a</v>
      </c>
      <c r="C37" s="1" t="s">
        <v>1695</v>
      </c>
      <c r="D37" s="1" t="s">
        <v>736</v>
      </c>
      <c r="E37" s="1" t="s">
        <v>1553</v>
      </c>
      <c r="F37" s="1" t="s">
        <v>87</v>
      </c>
      <c r="G37" s="1"/>
      <c r="H37" s="1"/>
      <c r="I37" s="1"/>
      <c r="J37" s="1"/>
      <c r="K37" s="1" t="s">
        <v>53</v>
      </c>
      <c r="L37" s="1"/>
    </row>
    <row r="38" spans="1:12" hidden="1" x14ac:dyDescent="0.25">
      <c r="A38" s="4">
        <v>32</v>
      </c>
      <c r="B38" s="2" t="str">
        <f>HYPERLINK("https://my.zakupivli.pro/remote/dispatcher/state_purchase_view/68329634", "UA-2026-05-20-006405-a")</f>
        <v>UA-2026-05-20-006405-a</v>
      </c>
      <c r="C38" s="1" t="s">
        <v>2063</v>
      </c>
      <c r="D38" s="1" t="s">
        <v>736</v>
      </c>
      <c r="E38" s="1" t="s">
        <v>1553</v>
      </c>
      <c r="F38" s="1" t="s">
        <v>87</v>
      </c>
      <c r="G38" s="1"/>
      <c r="H38" s="1"/>
      <c r="I38" s="1"/>
      <c r="J38" s="1"/>
      <c r="K38" s="1" t="s">
        <v>53</v>
      </c>
      <c r="L38" s="1"/>
    </row>
    <row r="39" spans="1:12" ht="26.25" x14ac:dyDescent="0.25">
      <c r="A39" s="4">
        <v>22</v>
      </c>
      <c r="B39" s="2" t="str">
        <f>HYPERLINK("https://my.zakupivli.pro/remote/dispatcher/state_purchase_view/68307579", "UA-2026-05-19-011884-a")</f>
        <v>UA-2026-05-19-011884-a</v>
      </c>
      <c r="C39" s="8" t="s">
        <v>1921</v>
      </c>
      <c r="D39" s="1" t="s">
        <v>1313</v>
      </c>
      <c r="E39" s="1" t="s">
        <v>1553</v>
      </c>
      <c r="F39" s="1" t="s">
        <v>87</v>
      </c>
      <c r="G39" s="1" t="s">
        <v>1555</v>
      </c>
      <c r="H39" s="1" t="s">
        <v>86</v>
      </c>
      <c r="I39" s="9" t="s">
        <v>1186</v>
      </c>
      <c r="J39" s="6">
        <v>1282</v>
      </c>
      <c r="K39" s="5">
        <v>46156</v>
      </c>
      <c r="L39" s="7">
        <v>46387</v>
      </c>
    </row>
    <row r="40" spans="1:12" ht="39" x14ac:dyDescent="0.25">
      <c r="A40" s="4">
        <v>23</v>
      </c>
      <c r="B40" s="2" t="str">
        <f>HYPERLINK("https://my.zakupivli.pro/remote/dispatcher/state_purchase_view/68306596", "UA-2026-05-19-011467-a")</f>
        <v>UA-2026-05-19-011467-a</v>
      </c>
      <c r="C40" s="8" t="s">
        <v>5</v>
      </c>
      <c r="D40" s="1" t="s">
        <v>444</v>
      </c>
      <c r="E40" s="1" t="s">
        <v>1553</v>
      </c>
      <c r="F40" s="1" t="s">
        <v>87</v>
      </c>
      <c r="G40" s="1" t="s">
        <v>1624</v>
      </c>
      <c r="H40" s="1" t="s">
        <v>734</v>
      </c>
      <c r="I40" s="9" t="s">
        <v>1616</v>
      </c>
      <c r="J40" s="6">
        <v>7490</v>
      </c>
      <c r="K40" s="5">
        <v>46156</v>
      </c>
      <c r="L40" s="7">
        <v>46387</v>
      </c>
    </row>
    <row r="41" spans="1:12" x14ac:dyDescent="0.25">
      <c r="A41" s="4">
        <v>24</v>
      </c>
      <c r="B41" s="2" t="str">
        <f>HYPERLINK("https://my.zakupivli.pro/remote/dispatcher/state_purchase_view/68303792", "UA-2026-05-19-010152-a")</f>
        <v>UA-2026-05-19-010152-a</v>
      </c>
      <c r="C41" s="8" t="s">
        <v>1570</v>
      </c>
      <c r="D41" s="1" t="s">
        <v>904</v>
      </c>
      <c r="E41" s="1" t="s">
        <v>1553</v>
      </c>
      <c r="F41" s="1" t="s">
        <v>87</v>
      </c>
      <c r="G41" s="1" t="s">
        <v>1623</v>
      </c>
      <c r="H41" s="1" t="s">
        <v>579</v>
      </c>
      <c r="I41" s="9" t="s">
        <v>387</v>
      </c>
      <c r="J41" s="6">
        <v>91392</v>
      </c>
      <c r="K41" s="5">
        <v>46161</v>
      </c>
      <c r="L41" s="7">
        <v>46387</v>
      </c>
    </row>
    <row r="42" spans="1:12" ht="26.25" x14ac:dyDescent="0.25">
      <c r="A42" s="4">
        <v>25</v>
      </c>
      <c r="B42" s="2" t="str">
        <f>HYPERLINK("https://my.zakupivli.pro/remote/dispatcher/state_purchase_view/68303107", "UA-2026-05-19-009847-a")</f>
        <v>UA-2026-05-19-009847-a</v>
      </c>
      <c r="C42" s="8" t="s">
        <v>1957</v>
      </c>
      <c r="D42" s="1" t="s">
        <v>1007</v>
      </c>
      <c r="E42" s="1" t="s">
        <v>1553</v>
      </c>
      <c r="F42" s="1" t="s">
        <v>87</v>
      </c>
      <c r="G42" s="1" t="s">
        <v>1623</v>
      </c>
      <c r="H42" s="1" t="s">
        <v>579</v>
      </c>
      <c r="I42" s="9" t="s">
        <v>389</v>
      </c>
      <c r="J42" s="6">
        <v>66049</v>
      </c>
      <c r="K42" s="5">
        <v>46161</v>
      </c>
      <c r="L42" s="7">
        <v>46387</v>
      </c>
    </row>
    <row r="43" spans="1:12" ht="26.25" x14ac:dyDescent="0.25">
      <c r="A43" s="4">
        <v>26</v>
      </c>
      <c r="B43" s="2" t="str">
        <f>HYPERLINK("https://my.zakupivli.pro/remote/dispatcher/state_purchase_view/68274210", "UA-2026-05-18-011628-a")</f>
        <v>UA-2026-05-18-011628-a</v>
      </c>
      <c r="C43" s="8" t="s">
        <v>1701</v>
      </c>
      <c r="D43" s="1" t="s">
        <v>1304</v>
      </c>
      <c r="E43" s="1" t="s">
        <v>1553</v>
      </c>
      <c r="F43" s="1" t="s">
        <v>87</v>
      </c>
      <c r="G43" s="1" t="s">
        <v>2137</v>
      </c>
      <c r="H43" s="1" t="s">
        <v>836</v>
      </c>
      <c r="I43" s="9" t="s">
        <v>660</v>
      </c>
      <c r="J43" s="6">
        <v>10320</v>
      </c>
      <c r="K43" s="5">
        <v>46160</v>
      </c>
      <c r="L43" s="7">
        <v>46387</v>
      </c>
    </row>
    <row r="44" spans="1:12" ht="39" x14ac:dyDescent="0.25">
      <c r="A44" s="4">
        <v>27</v>
      </c>
      <c r="B44" s="2" t="str">
        <f>HYPERLINK("https://my.zakupivli.pro/remote/dispatcher/state_purchase_view/68273840", "UA-2026-05-18-011394-a")</f>
        <v>UA-2026-05-18-011394-a</v>
      </c>
      <c r="C44" s="8" t="s">
        <v>1857</v>
      </c>
      <c r="D44" s="1" t="s">
        <v>1157</v>
      </c>
      <c r="E44" s="1" t="s">
        <v>1553</v>
      </c>
      <c r="F44" s="1" t="s">
        <v>87</v>
      </c>
      <c r="G44" s="1" t="s">
        <v>1762</v>
      </c>
      <c r="H44" s="1" t="s">
        <v>821</v>
      </c>
      <c r="I44" s="9" t="s">
        <v>1216</v>
      </c>
      <c r="J44" s="6">
        <v>36740.959999999999</v>
      </c>
      <c r="K44" s="5">
        <v>46160</v>
      </c>
      <c r="L44" s="7">
        <v>46387</v>
      </c>
    </row>
    <row r="45" spans="1:12" x14ac:dyDescent="0.25">
      <c r="A45" s="4">
        <v>28</v>
      </c>
      <c r="B45" s="2" t="str">
        <f>HYPERLINK("https://my.zakupivli.pro/remote/dispatcher/state_purchase_view/68211105", "UA-2026-05-14-013009-a")</f>
        <v>UA-2026-05-14-013009-a</v>
      </c>
      <c r="C45" s="8" t="s">
        <v>1529</v>
      </c>
      <c r="D45" s="1" t="s">
        <v>425</v>
      </c>
      <c r="E45" s="1" t="s">
        <v>1553</v>
      </c>
      <c r="F45" s="1" t="s">
        <v>87</v>
      </c>
      <c r="G45" s="1" t="s">
        <v>2115</v>
      </c>
      <c r="H45" s="1" t="s">
        <v>874</v>
      </c>
      <c r="I45" s="9" t="s">
        <v>360</v>
      </c>
      <c r="J45" s="6">
        <v>1215</v>
      </c>
      <c r="K45" s="5">
        <v>46156</v>
      </c>
      <c r="L45" s="7">
        <v>46387</v>
      </c>
    </row>
    <row r="46" spans="1:12" x14ac:dyDescent="0.25">
      <c r="A46" s="4">
        <v>29</v>
      </c>
      <c r="B46" s="2" t="str">
        <f>HYPERLINK("https://my.zakupivli.pro/remote/dispatcher/state_purchase_view/68209251", "UA-2026-05-14-012212-a")</f>
        <v>UA-2026-05-14-012212-a</v>
      </c>
      <c r="C46" s="8" t="s">
        <v>1425</v>
      </c>
      <c r="D46" s="1" t="s">
        <v>421</v>
      </c>
      <c r="E46" s="1" t="s">
        <v>1553</v>
      </c>
      <c r="F46" s="1" t="s">
        <v>87</v>
      </c>
      <c r="G46" s="1" t="s">
        <v>2018</v>
      </c>
      <c r="H46" s="1" t="s">
        <v>611</v>
      </c>
      <c r="I46" s="9" t="s">
        <v>354</v>
      </c>
      <c r="J46" s="6">
        <v>8325</v>
      </c>
      <c r="K46" s="5">
        <v>46156</v>
      </c>
      <c r="L46" s="7">
        <v>46387</v>
      </c>
    </row>
    <row r="47" spans="1:12" ht="26.25" x14ac:dyDescent="0.25">
      <c r="A47" s="4">
        <v>30</v>
      </c>
      <c r="B47" s="2" t="str">
        <f>HYPERLINK("https://my.zakupivli.pro/remote/dispatcher/state_purchase_view/68208941", "UA-2026-05-14-012007-a")</f>
        <v>UA-2026-05-14-012007-a</v>
      </c>
      <c r="C47" s="8" t="s">
        <v>1937</v>
      </c>
      <c r="D47" s="1" t="s">
        <v>856</v>
      </c>
      <c r="E47" s="1" t="s">
        <v>1553</v>
      </c>
      <c r="F47" s="1" t="s">
        <v>87</v>
      </c>
      <c r="G47" s="1" t="s">
        <v>2035</v>
      </c>
      <c r="H47" s="1" t="s">
        <v>692</v>
      </c>
      <c r="I47" s="9" t="s">
        <v>343</v>
      </c>
      <c r="J47" s="6">
        <v>4980</v>
      </c>
      <c r="K47" s="5">
        <v>46156</v>
      </c>
      <c r="L47" s="7">
        <v>46387</v>
      </c>
    </row>
    <row r="48" spans="1:12" x14ac:dyDescent="0.25">
      <c r="A48" s="4">
        <v>31</v>
      </c>
      <c r="B48" s="2" t="str">
        <f>HYPERLINK("https://my.zakupivli.pro/remote/dispatcher/state_purchase_view/68207621", "UA-2026-05-14-011397-a")</f>
        <v>UA-2026-05-14-011397-a</v>
      </c>
      <c r="C48" s="8" t="s">
        <v>1483</v>
      </c>
      <c r="D48" s="1" t="s">
        <v>858</v>
      </c>
      <c r="E48" s="1" t="s">
        <v>1553</v>
      </c>
      <c r="F48" s="1" t="s">
        <v>87</v>
      </c>
      <c r="G48" s="1" t="s">
        <v>1797</v>
      </c>
      <c r="H48" s="1" t="s">
        <v>721</v>
      </c>
      <c r="I48" s="9" t="s">
        <v>132</v>
      </c>
      <c r="J48" s="6">
        <v>80000</v>
      </c>
      <c r="K48" s="5">
        <v>46156</v>
      </c>
      <c r="L48" s="7">
        <v>46387</v>
      </c>
    </row>
    <row r="49" spans="1:12" ht="26.25" x14ac:dyDescent="0.25">
      <c r="A49" s="4">
        <v>32</v>
      </c>
      <c r="B49" s="2" t="str">
        <f>HYPERLINK("https://my.zakupivli.pro/remote/dispatcher/state_purchase_view/68206821", "UA-2026-05-14-011006-a")</f>
        <v>UA-2026-05-14-011006-a</v>
      </c>
      <c r="C49" s="8" t="s">
        <v>1922</v>
      </c>
      <c r="D49" s="1" t="s">
        <v>1302</v>
      </c>
      <c r="E49" s="1" t="s">
        <v>1553</v>
      </c>
      <c r="F49" s="1" t="s">
        <v>87</v>
      </c>
      <c r="G49" s="1" t="s">
        <v>2097</v>
      </c>
      <c r="H49" s="1" t="s">
        <v>907</v>
      </c>
      <c r="I49" s="9" t="s">
        <v>383</v>
      </c>
      <c r="J49" s="6">
        <v>4600</v>
      </c>
      <c r="K49" s="5">
        <v>46156</v>
      </c>
      <c r="L49" s="7">
        <v>46387</v>
      </c>
    </row>
    <row r="50" spans="1:12" ht="26.25" x14ac:dyDescent="0.25">
      <c r="A50" s="4">
        <v>33</v>
      </c>
      <c r="B50" s="2" t="str">
        <f>HYPERLINK("https://my.zakupivli.pro/remote/dispatcher/state_purchase_view/68205932", "UA-2026-05-14-010579-a")</f>
        <v>UA-2026-05-14-010579-a</v>
      </c>
      <c r="C50" s="8" t="s">
        <v>1846</v>
      </c>
      <c r="D50" s="1" t="s">
        <v>1151</v>
      </c>
      <c r="E50" s="1" t="s">
        <v>1553</v>
      </c>
      <c r="F50" s="1" t="s">
        <v>87</v>
      </c>
      <c r="G50" s="1" t="s">
        <v>1477</v>
      </c>
      <c r="H50" s="1" t="s">
        <v>484</v>
      </c>
      <c r="I50" s="9" t="s">
        <v>307</v>
      </c>
      <c r="J50" s="6">
        <v>68100</v>
      </c>
      <c r="K50" s="5">
        <v>46156</v>
      </c>
      <c r="L50" s="7">
        <v>46387</v>
      </c>
    </row>
    <row r="51" spans="1:12" ht="26.25" x14ac:dyDescent="0.25">
      <c r="A51" s="4">
        <v>34</v>
      </c>
      <c r="B51" s="2" t="str">
        <f>HYPERLINK("https://my.zakupivli.pro/remote/dispatcher/state_purchase_view/68204513", "UA-2026-05-14-010017-a")</f>
        <v>UA-2026-05-14-010017-a</v>
      </c>
      <c r="C51" s="8" t="s">
        <v>1816</v>
      </c>
      <c r="D51" s="1" t="s">
        <v>1251</v>
      </c>
      <c r="E51" s="1" t="s">
        <v>1553</v>
      </c>
      <c r="F51" s="1" t="s">
        <v>87</v>
      </c>
      <c r="G51" s="1" t="s">
        <v>2155</v>
      </c>
      <c r="H51" s="1" t="s">
        <v>943</v>
      </c>
      <c r="I51" s="9" t="s">
        <v>516</v>
      </c>
      <c r="J51" s="6">
        <v>17490</v>
      </c>
      <c r="K51" s="5">
        <v>46156</v>
      </c>
      <c r="L51" s="7">
        <v>46387</v>
      </c>
    </row>
    <row r="52" spans="1:12" ht="26.25" x14ac:dyDescent="0.25">
      <c r="A52" s="4">
        <v>35</v>
      </c>
      <c r="B52" s="2" t="str">
        <f>HYPERLINK("https://my.zakupivli.pro/remote/dispatcher/state_purchase_view/68202470", "UA-2026-05-14-009049-a")</f>
        <v>UA-2026-05-14-009049-a</v>
      </c>
      <c r="C52" s="8" t="s">
        <v>1903</v>
      </c>
      <c r="D52" s="1" t="s">
        <v>1311</v>
      </c>
      <c r="E52" s="1" t="s">
        <v>1553</v>
      </c>
      <c r="F52" s="1" t="s">
        <v>87</v>
      </c>
      <c r="G52" s="1" t="s">
        <v>1557</v>
      </c>
      <c r="H52" s="1" t="s">
        <v>84</v>
      </c>
      <c r="I52" s="9" t="s">
        <v>346</v>
      </c>
      <c r="J52" s="6">
        <v>21672</v>
      </c>
      <c r="K52" s="5">
        <v>46156</v>
      </c>
      <c r="L52" s="7">
        <v>46387</v>
      </c>
    </row>
    <row r="53" spans="1:12" x14ac:dyDescent="0.25">
      <c r="A53" s="4">
        <v>36</v>
      </c>
      <c r="B53" s="2" t="str">
        <f>HYPERLINK("https://my.zakupivli.pro/remote/dispatcher/state_purchase_view/68201532", "UA-2026-05-14-008691-a")</f>
        <v>UA-2026-05-14-008691-a</v>
      </c>
      <c r="C53" s="8" t="s">
        <v>1798</v>
      </c>
      <c r="D53" s="1" t="s">
        <v>952</v>
      </c>
      <c r="E53" s="1" t="s">
        <v>1553</v>
      </c>
      <c r="F53" s="1" t="s">
        <v>87</v>
      </c>
      <c r="G53" s="1" t="s">
        <v>2148</v>
      </c>
      <c r="H53" s="1" t="s">
        <v>116</v>
      </c>
      <c r="I53" s="9" t="s">
        <v>70</v>
      </c>
      <c r="J53" s="6">
        <v>3636.36</v>
      </c>
      <c r="K53" s="5">
        <v>46154</v>
      </c>
      <c r="L53" s="7">
        <v>46387</v>
      </c>
    </row>
    <row r="54" spans="1:12" x14ac:dyDescent="0.25">
      <c r="A54" s="4">
        <v>37</v>
      </c>
      <c r="B54" s="2" t="str">
        <f>HYPERLINK("https://my.zakupivli.pro/remote/dispatcher/state_purchase_view/68201134", "UA-2026-05-14-008462-a")</f>
        <v>UA-2026-05-14-008462-a</v>
      </c>
      <c r="C54" s="8" t="s">
        <v>2059</v>
      </c>
      <c r="D54" s="1" t="s">
        <v>880</v>
      </c>
      <c r="E54" s="1" t="s">
        <v>1553</v>
      </c>
      <c r="F54" s="1" t="s">
        <v>87</v>
      </c>
      <c r="G54" s="1" t="s">
        <v>1623</v>
      </c>
      <c r="H54" s="1" t="s">
        <v>579</v>
      </c>
      <c r="I54" s="9" t="s">
        <v>326</v>
      </c>
      <c r="J54" s="6">
        <v>30150</v>
      </c>
      <c r="K54" s="5">
        <v>46156</v>
      </c>
      <c r="L54" s="7">
        <v>46387</v>
      </c>
    </row>
    <row r="55" spans="1:12" x14ac:dyDescent="0.25">
      <c r="A55" s="4">
        <v>38</v>
      </c>
      <c r="B55" s="2" t="str">
        <f>HYPERLINK("https://my.zakupivli.pro/remote/dispatcher/state_purchase_view/68200478", "UA-2026-05-14-008244-a")</f>
        <v>UA-2026-05-14-008244-a</v>
      </c>
      <c r="C55" s="8" t="s">
        <v>1388</v>
      </c>
      <c r="D55" s="1" t="s">
        <v>639</v>
      </c>
      <c r="E55" s="1" t="s">
        <v>1553</v>
      </c>
      <c r="F55" s="1" t="s">
        <v>87</v>
      </c>
      <c r="G55" s="1" t="s">
        <v>1623</v>
      </c>
      <c r="H55" s="1" t="s">
        <v>579</v>
      </c>
      <c r="I55" s="9" t="s">
        <v>325</v>
      </c>
      <c r="J55" s="6">
        <v>1560</v>
      </c>
      <c r="K55" s="5">
        <v>46156</v>
      </c>
      <c r="L55" s="7">
        <v>46387</v>
      </c>
    </row>
    <row r="56" spans="1:12" ht="39" x14ac:dyDescent="0.25">
      <c r="A56" s="4">
        <v>39</v>
      </c>
      <c r="B56" s="2" t="str">
        <f>HYPERLINK("https://my.zakupivli.pro/remote/dispatcher/state_purchase_view/68162923", "UA-2026-05-13-005504-a")</f>
        <v>UA-2026-05-13-005504-a</v>
      </c>
      <c r="C56" s="8" t="s">
        <v>2055</v>
      </c>
      <c r="D56" s="1" t="s">
        <v>1223</v>
      </c>
      <c r="E56" s="1" t="s">
        <v>1553</v>
      </c>
      <c r="F56" s="1" t="s">
        <v>87</v>
      </c>
      <c r="G56" s="1" t="s">
        <v>1372</v>
      </c>
      <c r="H56" s="1" t="s">
        <v>385</v>
      </c>
      <c r="I56" s="9" t="s">
        <v>78</v>
      </c>
      <c r="J56" s="6">
        <v>7236</v>
      </c>
      <c r="K56" s="5">
        <v>46155</v>
      </c>
      <c r="L56" s="7">
        <v>46387</v>
      </c>
    </row>
    <row r="57" spans="1:12" ht="26.25" x14ac:dyDescent="0.25">
      <c r="A57" s="4">
        <v>40</v>
      </c>
      <c r="B57" s="2" t="str">
        <f>HYPERLINK("https://my.zakupivli.pro/remote/dispatcher/state_purchase_view/68082590", "UA-2026-05-11-000163-a")</f>
        <v>UA-2026-05-11-000163-a</v>
      </c>
      <c r="C57" s="8" t="s">
        <v>1701</v>
      </c>
      <c r="D57" s="1" t="s">
        <v>1304</v>
      </c>
      <c r="E57" s="1" t="s">
        <v>1553</v>
      </c>
      <c r="F57" s="1" t="s">
        <v>87</v>
      </c>
      <c r="G57" s="1" t="s">
        <v>1562</v>
      </c>
      <c r="H57" s="1" t="s">
        <v>109</v>
      </c>
      <c r="I57" s="9" t="s">
        <v>334</v>
      </c>
      <c r="J57" s="6">
        <v>3300</v>
      </c>
      <c r="K57" s="5">
        <v>46148</v>
      </c>
      <c r="L57" s="7">
        <v>46387</v>
      </c>
    </row>
    <row r="58" spans="1:12" hidden="1" x14ac:dyDescent="0.25">
      <c r="A58" s="4">
        <v>52</v>
      </c>
      <c r="B58" s="2" t="str">
        <f>HYPERLINK("https://my.zakupivli.pro/remote/dispatcher/state_purchase_view/68009438", "UA-2026-05-06-012760-a")</f>
        <v>UA-2026-05-06-012760-a</v>
      </c>
      <c r="C58" s="1" t="s">
        <v>1701</v>
      </c>
      <c r="D58" s="1" t="s">
        <v>1304</v>
      </c>
      <c r="E58" s="1" t="s">
        <v>1553</v>
      </c>
      <c r="F58" s="1" t="s">
        <v>87</v>
      </c>
      <c r="G58" s="1" t="s">
        <v>2170</v>
      </c>
      <c r="H58" s="1" t="s">
        <v>1038</v>
      </c>
      <c r="I58" s="1" t="s">
        <v>147</v>
      </c>
      <c r="J58" s="6">
        <v>3600</v>
      </c>
      <c r="K58" s="5">
        <v>46141</v>
      </c>
      <c r="L58" s="7">
        <v>46387</v>
      </c>
    </row>
    <row r="59" spans="1:12" hidden="1" x14ac:dyDescent="0.25">
      <c r="A59" s="4">
        <v>53</v>
      </c>
      <c r="B59" s="2" t="str">
        <f>HYPERLINK("https://my.zakupivli.pro/remote/dispatcher/state_purchase_view/68008553", "UA-2026-05-06-012420-a")</f>
        <v>UA-2026-05-06-012420-a</v>
      </c>
      <c r="C59" s="1" t="s">
        <v>1871</v>
      </c>
      <c r="D59" s="1" t="s">
        <v>1252</v>
      </c>
      <c r="E59" s="1" t="s">
        <v>1553</v>
      </c>
      <c r="F59" s="1" t="s">
        <v>87</v>
      </c>
      <c r="G59" s="1" t="s">
        <v>2133</v>
      </c>
      <c r="H59" s="1" t="s">
        <v>947</v>
      </c>
      <c r="I59" s="1" t="s">
        <v>289</v>
      </c>
      <c r="J59" s="6">
        <v>8000</v>
      </c>
      <c r="K59" s="5">
        <v>46140</v>
      </c>
      <c r="L59" s="7">
        <v>46387</v>
      </c>
    </row>
    <row r="60" spans="1:12" ht="26.25" x14ac:dyDescent="0.25">
      <c r="A60" s="4">
        <v>41</v>
      </c>
      <c r="B60" s="2" t="str">
        <f>HYPERLINK("https://my.zakupivli.pro/remote/dispatcher/state_purchase_view/68006415", "UA-2026-05-06-011403-a")</f>
        <v>UA-2026-05-06-011403-a</v>
      </c>
      <c r="C60" s="8" t="s">
        <v>1871</v>
      </c>
      <c r="D60" s="1" t="s">
        <v>1252</v>
      </c>
      <c r="E60" s="1" t="s">
        <v>1553</v>
      </c>
      <c r="F60" s="1" t="s">
        <v>87</v>
      </c>
      <c r="G60" s="1" t="s">
        <v>2145</v>
      </c>
      <c r="H60" s="1" t="s">
        <v>983</v>
      </c>
      <c r="I60" s="9" t="s">
        <v>322</v>
      </c>
      <c r="J60" s="6">
        <v>30385</v>
      </c>
      <c r="K60" s="5">
        <v>46148</v>
      </c>
      <c r="L60" s="7">
        <v>46387</v>
      </c>
    </row>
    <row r="61" spans="1:12" ht="26.25" x14ac:dyDescent="0.25">
      <c r="A61" s="4">
        <v>42</v>
      </c>
      <c r="B61" s="2" t="str">
        <f>HYPERLINK("https://my.zakupivli.pro/remote/dispatcher/state_purchase_view/68004151", "UA-2026-05-06-010422-a")</f>
        <v>UA-2026-05-06-010422-a</v>
      </c>
      <c r="C61" s="8" t="s">
        <v>1816</v>
      </c>
      <c r="D61" s="1" t="s">
        <v>1251</v>
      </c>
      <c r="E61" s="1" t="s">
        <v>1553</v>
      </c>
      <c r="F61" s="1" t="s">
        <v>87</v>
      </c>
      <c r="G61" s="1" t="s">
        <v>1472</v>
      </c>
      <c r="H61" s="1" t="s">
        <v>101</v>
      </c>
      <c r="I61" s="9" t="s">
        <v>442</v>
      </c>
      <c r="J61" s="6">
        <v>10320</v>
      </c>
      <c r="K61" s="5">
        <v>46148</v>
      </c>
      <c r="L61" s="7">
        <v>46387</v>
      </c>
    </row>
    <row r="62" spans="1:12" ht="26.25" x14ac:dyDescent="0.25">
      <c r="A62" s="4">
        <v>43</v>
      </c>
      <c r="B62" s="2" t="str">
        <f>HYPERLINK("https://my.zakupivli.pro/remote/dispatcher/state_purchase_view/68003276", "UA-2026-05-06-010054-a")</f>
        <v>UA-2026-05-06-010054-a</v>
      </c>
      <c r="C62" s="8" t="s">
        <v>1402</v>
      </c>
      <c r="D62" s="1" t="s">
        <v>711</v>
      </c>
      <c r="E62" s="1" t="s">
        <v>1553</v>
      </c>
      <c r="F62" s="1" t="s">
        <v>87</v>
      </c>
      <c r="G62" s="1" t="s">
        <v>2082</v>
      </c>
      <c r="H62" s="1" t="s">
        <v>1065</v>
      </c>
      <c r="I62" s="9" t="s">
        <v>422</v>
      </c>
      <c r="J62" s="6">
        <v>513600</v>
      </c>
      <c r="K62" s="5">
        <v>46170</v>
      </c>
      <c r="L62" s="7">
        <v>46387</v>
      </c>
    </row>
    <row r="63" spans="1:12" ht="26.25" x14ac:dyDescent="0.25">
      <c r="A63" s="4">
        <v>44</v>
      </c>
      <c r="B63" s="2" t="str">
        <f>HYPERLINK("https://my.zakupivli.pro/remote/dispatcher/state_purchase_view/68002506", "UA-2026-05-06-009730-a")</f>
        <v>UA-2026-05-06-009730-a</v>
      </c>
      <c r="C63" s="8" t="s">
        <v>1931</v>
      </c>
      <c r="D63" s="1" t="s">
        <v>971</v>
      </c>
      <c r="E63" s="1" t="s">
        <v>1553</v>
      </c>
      <c r="F63" s="1" t="s">
        <v>87</v>
      </c>
      <c r="G63" s="1" t="s">
        <v>2121</v>
      </c>
      <c r="H63" s="1" t="s">
        <v>675</v>
      </c>
      <c r="I63" s="9" t="s">
        <v>318</v>
      </c>
      <c r="J63" s="6">
        <v>13999</v>
      </c>
      <c r="K63" s="5">
        <v>46146</v>
      </c>
      <c r="L63" s="7">
        <v>46387</v>
      </c>
    </row>
    <row r="64" spans="1:12" x14ac:dyDescent="0.25">
      <c r="A64" s="4">
        <v>45</v>
      </c>
      <c r="B64" s="2" t="str">
        <f>HYPERLINK("https://my.zakupivli.pro/remote/dispatcher/state_purchase_view/67973896", "UA-2026-05-05-012464-a")</f>
        <v>UA-2026-05-05-012464-a</v>
      </c>
      <c r="C64" s="8" t="s">
        <v>1798</v>
      </c>
      <c r="D64" s="1" t="s">
        <v>952</v>
      </c>
      <c r="E64" s="1" t="s">
        <v>1553</v>
      </c>
      <c r="F64" s="1" t="s">
        <v>87</v>
      </c>
      <c r="G64" s="1" t="s">
        <v>2148</v>
      </c>
      <c r="H64" s="1" t="s">
        <v>116</v>
      </c>
      <c r="I64" s="9" t="s">
        <v>69</v>
      </c>
      <c r="J64" s="6">
        <v>110</v>
      </c>
      <c r="K64" s="5">
        <v>46143</v>
      </c>
      <c r="L64" s="7">
        <v>46387</v>
      </c>
    </row>
    <row r="65" spans="1:12" ht="26.25" x14ac:dyDescent="0.25">
      <c r="A65" s="4">
        <v>46</v>
      </c>
      <c r="B65" s="2" t="str">
        <f>HYPERLINK("https://my.zakupivli.pro/remote/dispatcher/state_purchase_view/67941404", "UA-2026-05-04-011885-a")</f>
        <v>UA-2026-05-04-011885-a</v>
      </c>
      <c r="C65" s="8" t="s">
        <v>1725</v>
      </c>
      <c r="D65" s="1" t="s">
        <v>719</v>
      </c>
      <c r="E65" s="1" t="s">
        <v>1553</v>
      </c>
      <c r="F65" s="1" t="s">
        <v>87</v>
      </c>
      <c r="G65" s="1" t="s">
        <v>2072</v>
      </c>
      <c r="H65" s="1" t="s">
        <v>1049</v>
      </c>
      <c r="I65" s="9" t="s">
        <v>352</v>
      </c>
      <c r="J65" s="6">
        <v>195082.4</v>
      </c>
      <c r="K65" s="5">
        <v>46154</v>
      </c>
      <c r="L65" s="7">
        <v>46387</v>
      </c>
    </row>
    <row r="66" spans="1:12" hidden="1" x14ac:dyDescent="0.25">
      <c r="A66" s="4">
        <v>60</v>
      </c>
      <c r="B66" s="2" t="str">
        <f>HYPERLINK("https://my.zakupivli.pro/remote/dispatcher/state_purchase_view/67908058", "UA-2026-05-01-010051-a")</f>
        <v>UA-2026-05-01-010051-a</v>
      </c>
      <c r="C66" s="1" t="s">
        <v>1483</v>
      </c>
      <c r="D66" s="1" t="s">
        <v>858</v>
      </c>
      <c r="E66" s="1" t="s">
        <v>1553</v>
      </c>
      <c r="F66" s="1" t="s">
        <v>87</v>
      </c>
      <c r="G66" s="1" t="s">
        <v>2288</v>
      </c>
      <c r="H66" s="1" t="s">
        <v>595</v>
      </c>
      <c r="I66" s="1" t="s">
        <v>531</v>
      </c>
      <c r="J66" s="6">
        <v>3960</v>
      </c>
      <c r="K66" s="5">
        <v>46140</v>
      </c>
      <c r="L66" s="7">
        <v>46387</v>
      </c>
    </row>
    <row r="67" spans="1:12" hidden="1" x14ac:dyDescent="0.25">
      <c r="A67" s="4">
        <v>61</v>
      </c>
      <c r="B67" s="2" t="str">
        <f>HYPERLINK("https://my.zakupivli.pro/remote/dispatcher/state_purchase_view/67853403", "UA-2026-04-29-010423-a")</f>
        <v>UA-2026-04-29-010423-a</v>
      </c>
      <c r="C67" s="1" t="s">
        <v>2040</v>
      </c>
      <c r="D67" s="1" t="s">
        <v>495</v>
      </c>
      <c r="E67" s="1" t="s">
        <v>1553</v>
      </c>
      <c r="F67" s="1" t="s">
        <v>87</v>
      </c>
      <c r="G67" s="1" t="s">
        <v>1428</v>
      </c>
      <c r="H67" s="1" t="s">
        <v>587</v>
      </c>
      <c r="I67" s="1" t="s">
        <v>65</v>
      </c>
      <c r="J67" s="6">
        <v>19383</v>
      </c>
      <c r="K67" s="5">
        <v>46141</v>
      </c>
      <c r="L67" s="7">
        <v>46387</v>
      </c>
    </row>
    <row r="68" spans="1:12" ht="306.75" x14ac:dyDescent="0.25">
      <c r="A68" s="4">
        <v>47</v>
      </c>
      <c r="B68" s="2" t="str">
        <f>HYPERLINK("https://my.zakupivli.pro/remote/dispatcher/state_purchase_view/67852823", "UA-2026-04-29-010200-a")</f>
        <v>UA-2026-04-29-010200-a</v>
      </c>
      <c r="C68" s="8" t="s">
        <v>2281</v>
      </c>
      <c r="D68" s="1" t="s">
        <v>716</v>
      </c>
      <c r="E68" s="1" t="s">
        <v>1553</v>
      </c>
      <c r="F68" s="1" t="s">
        <v>87</v>
      </c>
      <c r="G68" s="1" t="s">
        <v>2167</v>
      </c>
      <c r="H68" s="1" t="s">
        <v>1084</v>
      </c>
      <c r="I68" s="9" t="s">
        <v>381</v>
      </c>
      <c r="J68" s="6">
        <v>719775.09</v>
      </c>
      <c r="K68" s="5">
        <v>46161</v>
      </c>
      <c r="L68" s="7">
        <v>46387</v>
      </c>
    </row>
    <row r="69" spans="1:12" hidden="1" x14ac:dyDescent="0.25">
      <c r="A69" s="4">
        <v>63</v>
      </c>
      <c r="B69" s="2" t="str">
        <f>HYPERLINK("https://my.zakupivli.pro/remote/dispatcher/state_purchase_view/67852548", "UA-2026-04-29-010044-a")</f>
        <v>UA-2026-04-29-010044-a</v>
      </c>
      <c r="C69" s="1" t="s">
        <v>1696</v>
      </c>
      <c r="D69" s="1" t="s">
        <v>739</v>
      </c>
      <c r="E69" s="1" t="s">
        <v>1553</v>
      </c>
      <c r="F69" s="1" t="s">
        <v>87</v>
      </c>
      <c r="G69" s="1" t="s">
        <v>2288</v>
      </c>
      <c r="H69" s="1" t="s">
        <v>595</v>
      </c>
      <c r="I69" s="1" t="s">
        <v>616</v>
      </c>
      <c r="J69" s="6">
        <v>28569.45</v>
      </c>
      <c r="K69" s="5">
        <v>46141</v>
      </c>
      <c r="L69" s="7">
        <v>46387</v>
      </c>
    </row>
    <row r="70" spans="1:12" hidden="1" x14ac:dyDescent="0.25">
      <c r="A70" s="4">
        <v>64</v>
      </c>
      <c r="B70" s="2" t="str">
        <f>HYPERLINK("https://my.zakupivli.pro/remote/dispatcher/state_purchase_view/67851186", "UA-2026-04-29-009440-a")</f>
        <v>UA-2026-04-29-009440-a</v>
      </c>
      <c r="C70" s="1" t="s">
        <v>1440</v>
      </c>
      <c r="D70" s="1" t="s">
        <v>909</v>
      </c>
      <c r="E70" s="1" t="s">
        <v>1553</v>
      </c>
      <c r="F70" s="1" t="s">
        <v>87</v>
      </c>
      <c r="G70" s="1" t="s">
        <v>2018</v>
      </c>
      <c r="H70" s="1" t="s">
        <v>611</v>
      </c>
      <c r="I70" s="1" t="s">
        <v>315</v>
      </c>
      <c r="J70" s="6">
        <v>18416</v>
      </c>
      <c r="K70" s="5">
        <v>46141</v>
      </c>
      <c r="L70" s="7">
        <v>46387</v>
      </c>
    </row>
    <row r="71" spans="1:12" hidden="1" x14ac:dyDescent="0.25">
      <c r="A71" s="4">
        <v>65</v>
      </c>
      <c r="B71" s="2" t="str">
        <f>HYPERLINK("https://my.zakupivli.pro/remote/dispatcher/state_purchase_view/67850326", "UA-2026-04-29-009023-a")</f>
        <v>UA-2026-04-29-009023-a</v>
      </c>
      <c r="C71" s="1" t="s">
        <v>1610</v>
      </c>
      <c r="D71" s="1" t="s">
        <v>880</v>
      </c>
      <c r="E71" s="1" t="s">
        <v>1553</v>
      </c>
      <c r="F71" s="1" t="s">
        <v>87</v>
      </c>
      <c r="G71" s="1" t="s">
        <v>2035</v>
      </c>
      <c r="H71" s="1" t="s">
        <v>692</v>
      </c>
      <c r="I71" s="1" t="s">
        <v>297</v>
      </c>
      <c r="J71" s="6">
        <v>16300</v>
      </c>
      <c r="K71" s="5">
        <v>46141</v>
      </c>
      <c r="L71" s="7">
        <v>46387</v>
      </c>
    </row>
    <row r="72" spans="1:12" hidden="1" x14ac:dyDescent="0.25">
      <c r="A72" s="4">
        <v>66</v>
      </c>
      <c r="B72" s="2" t="str">
        <f>HYPERLINK("https://my.zakupivli.pro/remote/dispatcher/state_purchase_view/67849284", "UA-2026-04-29-008616-a")</f>
        <v>UA-2026-04-29-008616-a</v>
      </c>
      <c r="C72" s="1" t="s">
        <v>26</v>
      </c>
      <c r="D72" s="1" t="s">
        <v>873</v>
      </c>
      <c r="E72" s="1" t="s">
        <v>1553</v>
      </c>
      <c r="F72" s="1" t="s">
        <v>87</v>
      </c>
      <c r="G72" s="1" t="s">
        <v>2035</v>
      </c>
      <c r="H72" s="1" t="s">
        <v>692</v>
      </c>
      <c r="I72" s="1" t="s">
        <v>303</v>
      </c>
      <c r="J72" s="6">
        <v>41400</v>
      </c>
      <c r="K72" s="5">
        <v>46141</v>
      </c>
      <c r="L72" s="7">
        <v>46387</v>
      </c>
    </row>
    <row r="73" spans="1:12" hidden="1" x14ac:dyDescent="0.25">
      <c r="A73" s="4">
        <v>67</v>
      </c>
      <c r="B73" s="2" t="str">
        <f>HYPERLINK("https://my.zakupivli.pro/remote/dispatcher/state_purchase_view/67848929", "UA-2026-04-29-008430-a")</f>
        <v>UA-2026-04-29-008430-a</v>
      </c>
      <c r="C73" s="1" t="s">
        <v>1608</v>
      </c>
      <c r="D73" s="1" t="s">
        <v>834</v>
      </c>
      <c r="E73" s="1" t="s">
        <v>1553</v>
      </c>
      <c r="F73" s="1" t="s">
        <v>87</v>
      </c>
      <c r="G73" s="1" t="s">
        <v>2035</v>
      </c>
      <c r="H73" s="1" t="s">
        <v>692</v>
      </c>
      <c r="I73" s="1" t="s">
        <v>308</v>
      </c>
      <c r="J73" s="6">
        <v>2000</v>
      </c>
      <c r="K73" s="5">
        <v>46141</v>
      </c>
      <c r="L73" s="7">
        <v>46387</v>
      </c>
    </row>
    <row r="74" spans="1:12" hidden="1" x14ac:dyDescent="0.25">
      <c r="A74" s="4">
        <v>68</v>
      </c>
      <c r="B74" s="2" t="str">
        <f>HYPERLINK("https://my.zakupivli.pro/remote/dispatcher/state_purchase_view/67848395", "UA-2026-04-29-008165-a")</f>
        <v>UA-2026-04-29-008165-a</v>
      </c>
      <c r="C74" s="1" t="s">
        <v>1364</v>
      </c>
      <c r="D74" s="1" t="s">
        <v>899</v>
      </c>
      <c r="E74" s="1" t="s">
        <v>1553</v>
      </c>
      <c r="F74" s="1" t="s">
        <v>87</v>
      </c>
      <c r="G74" s="1" t="s">
        <v>2018</v>
      </c>
      <c r="H74" s="1" t="s">
        <v>611</v>
      </c>
      <c r="I74" s="1" t="s">
        <v>311</v>
      </c>
      <c r="J74" s="6">
        <v>9762</v>
      </c>
      <c r="K74" s="5">
        <v>46141</v>
      </c>
      <c r="L74" s="7">
        <v>46387</v>
      </c>
    </row>
    <row r="75" spans="1:12" ht="128.25" x14ac:dyDescent="0.25">
      <c r="A75" s="4">
        <v>48</v>
      </c>
      <c r="B75" s="2" t="str">
        <f>HYPERLINK("https://my.zakupivli.pro/remote/dispatcher/state_purchase_view/67833470", "UA-2026-04-29-001520-a")</f>
        <v>UA-2026-04-29-001520-a</v>
      </c>
      <c r="C75" s="8" t="s">
        <v>1685</v>
      </c>
      <c r="D75" s="1" t="s">
        <v>711</v>
      </c>
      <c r="E75" s="1" t="s">
        <v>1553</v>
      </c>
      <c r="F75" s="1" t="s">
        <v>87</v>
      </c>
      <c r="G75" s="1" t="s">
        <v>2082</v>
      </c>
      <c r="H75" s="1" t="s">
        <v>1065</v>
      </c>
      <c r="I75" s="9" t="s">
        <v>390</v>
      </c>
      <c r="J75" s="6">
        <v>4020752.91</v>
      </c>
      <c r="K75" s="5">
        <v>46162</v>
      </c>
      <c r="L75" s="7">
        <v>46387</v>
      </c>
    </row>
    <row r="76" spans="1:12" ht="179.25" x14ac:dyDescent="0.25">
      <c r="A76" s="4">
        <v>49</v>
      </c>
      <c r="B76" s="2" t="str">
        <f>HYPERLINK("https://my.zakupivli.pro/remote/dispatcher/state_purchase_view/67792864", "UA-2026-04-27-012446-a")</f>
        <v>UA-2026-04-27-012446-a</v>
      </c>
      <c r="C76" s="8" t="s">
        <v>164</v>
      </c>
      <c r="D76" s="1" t="s">
        <v>736</v>
      </c>
      <c r="E76" s="1" t="s">
        <v>1553</v>
      </c>
      <c r="F76" s="1" t="s">
        <v>87</v>
      </c>
      <c r="G76" s="1" t="s">
        <v>2163</v>
      </c>
      <c r="H76" s="1" t="s">
        <v>973</v>
      </c>
      <c r="I76" s="9" t="s">
        <v>364</v>
      </c>
      <c r="J76" s="6">
        <v>627849.25</v>
      </c>
      <c r="K76" s="5">
        <v>46160</v>
      </c>
      <c r="L76" s="7">
        <v>46387</v>
      </c>
    </row>
    <row r="77" spans="1:12" ht="268.5" x14ac:dyDescent="0.25">
      <c r="A77" s="4">
        <v>50</v>
      </c>
      <c r="B77" s="2" t="str">
        <f>HYPERLINK("https://my.zakupivli.pro/remote/dispatcher/state_purchase_view/67790101", "UA-2026-04-27-011167-a")</f>
        <v>UA-2026-04-27-011167-a</v>
      </c>
      <c r="C77" s="8" t="s">
        <v>1694</v>
      </c>
      <c r="D77" s="1" t="s">
        <v>736</v>
      </c>
      <c r="E77" s="1" t="s">
        <v>1553</v>
      </c>
      <c r="F77" s="1" t="s">
        <v>87</v>
      </c>
      <c r="G77" s="1" t="s">
        <v>2163</v>
      </c>
      <c r="H77" s="1" t="s">
        <v>973</v>
      </c>
      <c r="I77" s="9" t="s">
        <v>362</v>
      </c>
      <c r="J77" s="6">
        <v>1195001.68</v>
      </c>
      <c r="K77" s="5">
        <v>46160</v>
      </c>
      <c r="L77" s="7">
        <v>46387</v>
      </c>
    </row>
    <row r="78" spans="1:12" hidden="1" x14ac:dyDescent="0.25">
      <c r="A78" s="4">
        <v>72</v>
      </c>
      <c r="B78" s="2" t="str">
        <f>HYPERLINK("https://my.zakupivli.pro/remote/dispatcher/state_purchase_view/67736350", "UA-2026-04-24-001824-a")</f>
        <v>UA-2026-04-24-001824-a</v>
      </c>
      <c r="C78" s="1" t="s">
        <v>1880</v>
      </c>
      <c r="D78" s="1" t="s">
        <v>1149</v>
      </c>
      <c r="E78" s="1" t="s">
        <v>1553</v>
      </c>
      <c r="F78" s="1" t="s">
        <v>87</v>
      </c>
      <c r="G78" s="1" t="s">
        <v>2154</v>
      </c>
      <c r="H78" s="1" t="s">
        <v>938</v>
      </c>
      <c r="I78" s="1" t="s">
        <v>687</v>
      </c>
      <c r="J78" s="6">
        <v>76700</v>
      </c>
      <c r="K78" s="5">
        <v>46135</v>
      </c>
      <c r="L78" s="7">
        <v>46148</v>
      </c>
    </row>
    <row r="79" spans="1:12" hidden="1" x14ac:dyDescent="0.25">
      <c r="A79" s="4">
        <v>73</v>
      </c>
      <c r="B79" s="2" t="str">
        <f>HYPERLINK("https://my.zakupivli.pro/remote/dispatcher/state_purchase_view/67723046", "UA-2026-04-23-011344-a")</f>
        <v>UA-2026-04-23-011344-a</v>
      </c>
      <c r="C79" s="1" t="s">
        <v>2199</v>
      </c>
      <c r="D79" s="1" t="s">
        <v>1249</v>
      </c>
      <c r="E79" s="1" t="s">
        <v>1553</v>
      </c>
      <c r="F79" s="1" t="s">
        <v>87</v>
      </c>
      <c r="G79" s="1" t="s">
        <v>2177</v>
      </c>
      <c r="H79" s="1" t="s">
        <v>400</v>
      </c>
      <c r="I79" s="1" t="s">
        <v>335</v>
      </c>
      <c r="J79" s="6">
        <v>4106.6000000000004</v>
      </c>
      <c r="K79" s="5">
        <v>46135</v>
      </c>
      <c r="L79" s="7">
        <v>46387</v>
      </c>
    </row>
    <row r="80" spans="1:12" hidden="1" x14ac:dyDescent="0.25">
      <c r="A80" s="4">
        <v>74</v>
      </c>
      <c r="B80" s="2" t="str">
        <f>HYPERLINK("https://my.zakupivli.pro/remote/dispatcher/state_purchase_view/67722347", "UA-2026-04-23-011028-a")</f>
        <v>UA-2026-04-23-011028-a</v>
      </c>
      <c r="C80" s="1" t="s">
        <v>1598</v>
      </c>
      <c r="D80" s="1" t="s">
        <v>1012</v>
      </c>
      <c r="E80" s="1" t="s">
        <v>1553</v>
      </c>
      <c r="F80" s="1" t="s">
        <v>87</v>
      </c>
      <c r="G80" s="1" t="s">
        <v>2018</v>
      </c>
      <c r="H80" s="1" t="s">
        <v>611</v>
      </c>
      <c r="I80" s="1" t="s">
        <v>291</v>
      </c>
      <c r="J80" s="6">
        <v>4336</v>
      </c>
      <c r="K80" s="5">
        <v>46135</v>
      </c>
      <c r="L80" s="7">
        <v>46387</v>
      </c>
    </row>
    <row r="81" spans="1:12" hidden="1" x14ac:dyDescent="0.25">
      <c r="A81" s="4">
        <v>75</v>
      </c>
      <c r="B81" s="2" t="str">
        <f>HYPERLINK("https://my.zakupivli.pro/remote/dispatcher/state_purchase_view/67721187", "UA-2026-04-23-010525-a")</f>
        <v>UA-2026-04-23-010525-a</v>
      </c>
      <c r="C81" s="1" t="s">
        <v>1440</v>
      </c>
      <c r="D81" s="1" t="s">
        <v>909</v>
      </c>
      <c r="E81" s="1" t="s">
        <v>1553</v>
      </c>
      <c r="F81" s="1" t="s">
        <v>87</v>
      </c>
      <c r="G81" s="1" t="s">
        <v>2018</v>
      </c>
      <c r="H81" s="1" t="s">
        <v>611</v>
      </c>
      <c r="I81" s="1" t="s">
        <v>287</v>
      </c>
      <c r="J81" s="6">
        <v>5480</v>
      </c>
      <c r="K81" s="5">
        <v>46135</v>
      </c>
      <c r="L81" s="7">
        <v>46387</v>
      </c>
    </row>
    <row r="82" spans="1:12" hidden="1" x14ac:dyDescent="0.25">
      <c r="A82" s="4">
        <v>76</v>
      </c>
      <c r="B82" s="2" t="str">
        <f>HYPERLINK("https://my.zakupivli.pro/remote/dispatcher/state_purchase_view/67686541", "UA-2026-04-22-010914-a")</f>
        <v>UA-2026-04-22-010914-a</v>
      </c>
      <c r="C82" s="1" t="s">
        <v>1669</v>
      </c>
      <c r="D82" s="1" t="s">
        <v>673</v>
      </c>
      <c r="E82" s="1" t="s">
        <v>1553</v>
      </c>
      <c r="F82" s="1" t="s">
        <v>87</v>
      </c>
      <c r="G82" s="1" t="s">
        <v>1743</v>
      </c>
      <c r="H82" s="1" t="s">
        <v>538</v>
      </c>
      <c r="I82" s="1" t="s">
        <v>283</v>
      </c>
      <c r="J82" s="6">
        <v>93000</v>
      </c>
      <c r="K82" s="5">
        <v>46134</v>
      </c>
      <c r="L82" s="7">
        <v>46387</v>
      </c>
    </row>
    <row r="83" spans="1:12" hidden="1" x14ac:dyDescent="0.25">
      <c r="A83" s="4">
        <v>77</v>
      </c>
      <c r="B83" s="2" t="str">
        <f>HYPERLINK("https://my.zakupivli.pro/remote/dispatcher/state_purchase_view/67685939", "UA-2026-04-22-010655-a")</f>
        <v>UA-2026-04-22-010655-a</v>
      </c>
      <c r="C83" s="1" t="s">
        <v>2199</v>
      </c>
      <c r="D83" s="1" t="s">
        <v>1249</v>
      </c>
      <c r="E83" s="1" t="s">
        <v>1553</v>
      </c>
      <c r="F83" s="1" t="s">
        <v>87</v>
      </c>
      <c r="G83" s="1" t="s">
        <v>2177</v>
      </c>
      <c r="H83" s="1" t="s">
        <v>400</v>
      </c>
      <c r="I83" s="1" t="s">
        <v>319</v>
      </c>
      <c r="J83" s="6">
        <v>5174.3999999999996</v>
      </c>
      <c r="K83" s="5">
        <v>46134</v>
      </c>
      <c r="L83" s="7">
        <v>46387</v>
      </c>
    </row>
    <row r="84" spans="1:12" hidden="1" x14ac:dyDescent="0.25">
      <c r="A84" s="4">
        <v>78</v>
      </c>
      <c r="B84" s="2" t="str">
        <f>HYPERLINK("https://my.zakupivli.pro/remote/dispatcher/state_purchase_view/67685204", "UA-2026-04-22-010333-a")</f>
        <v>UA-2026-04-22-010333-a</v>
      </c>
      <c r="C84" s="1" t="s">
        <v>1908</v>
      </c>
      <c r="D84" s="1" t="s">
        <v>1324</v>
      </c>
      <c r="E84" s="1" t="s">
        <v>1553</v>
      </c>
      <c r="F84" s="1" t="s">
        <v>87</v>
      </c>
      <c r="G84" s="1" t="s">
        <v>1560</v>
      </c>
      <c r="H84" s="1" t="s">
        <v>108</v>
      </c>
      <c r="I84" s="1" t="s">
        <v>839</v>
      </c>
      <c r="J84" s="6">
        <v>9311.7199999999993</v>
      </c>
      <c r="K84" s="5">
        <v>46134</v>
      </c>
      <c r="L84" s="7">
        <v>46387</v>
      </c>
    </row>
    <row r="85" spans="1:12" hidden="1" x14ac:dyDescent="0.25">
      <c r="A85" s="4">
        <v>79</v>
      </c>
      <c r="B85" s="2" t="str">
        <f>HYPERLINK("https://my.zakupivli.pro/remote/dispatcher/state_purchase_view/67684321", "UA-2026-04-22-009911-a")</f>
        <v>UA-2026-04-22-009911-a</v>
      </c>
      <c r="C85" s="1" t="s">
        <v>1702</v>
      </c>
      <c r="D85" s="1" t="s">
        <v>1304</v>
      </c>
      <c r="E85" s="1" t="s">
        <v>1553</v>
      </c>
      <c r="F85" s="1" t="s">
        <v>87</v>
      </c>
      <c r="G85" s="1" t="s">
        <v>2129</v>
      </c>
      <c r="H85" s="1" t="s">
        <v>751</v>
      </c>
      <c r="I85" s="1" t="s">
        <v>877</v>
      </c>
      <c r="J85" s="6">
        <v>4900</v>
      </c>
      <c r="K85" s="5">
        <v>46134</v>
      </c>
      <c r="L85" s="7">
        <v>46387</v>
      </c>
    </row>
    <row r="86" spans="1:12" hidden="1" x14ac:dyDescent="0.25">
      <c r="A86" s="4">
        <v>80</v>
      </c>
      <c r="B86" s="2" t="str">
        <f>HYPERLINK("https://my.zakupivli.pro/remote/dispatcher/state_purchase_view/67652792", "UA-2026-04-21-008654-a")</f>
        <v>UA-2026-04-21-008654-a</v>
      </c>
      <c r="C86" s="1" t="s">
        <v>1931</v>
      </c>
      <c r="D86" s="1" t="s">
        <v>971</v>
      </c>
      <c r="E86" s="1" t="s">
        <v>1553</v>
      </c>
      <c r="F86" s="1" t="s">
        <v>87</v>
      </c>
      <c r="G86" s="1" t="s">
        <v>2121</v>
      </c>
      <c r="H86" s="1" t="s">
        <v>675</v>
      </c>
      <c r="I86" s="1" t="s">
        <v>282</v>
      </c>
      <c r="J86" s="6">
        <v>18499.009999999998</v>
      </c>
      <c r="K86" s="5">
        <v>46133</v>
      </c>
      <c r="L86" s="7">
        <v>46387</v>
      </c>
    </row>
    <row r="87" spans="1:12" hidden="1" x14ac:dyDescent="0.25">
      <c r="A87" s="4">
        <v>81</v>
      </c>
      <c r="B87" s="2" t="str">
        <f>HYPERLINK("https://my.zakupivli.pro/remote/dispatcher/state_purchase_view/67651243", "UA-2026-04-21-008009-a")</f>
        <v>UA-2026-04-21-008009-a</v>
      </c>
      <c r="C87" s="1" t="s">
        <v>1421</v>
      </c>
      <c r="D87" s="1" t="s">
        <v>964</v>
      </c>
      <c r="E87" s="1" t="s">
        <v>1553</v>
      </c>
      <c r="F87" s="1" t="s">
        <v>87</v>
      </c>
      <c r="G87" s="1" t="s">
        <v>1623</v>
      </c>
      <c r="H87" s="1" t="s">
        <v>579</v>
      </c>
      <c r="I87" s="1" t="s">
        <v>281</v>
      </c>
      <c r="J87" s="6">
        <v>4508</v>
      </c>
      <c r="K87" s="5">
        <v>46132</v>
      </c>
      <c r="L87" s="7">
        <v>46387</v>
      </c>
    </row>
    <row r="88" spans="1:12" hidden="1" x14ac:dyDescent="0.25">
      <c r="A88" s="4">
        <v>82</v>
      </c>
      <c r="B88" s="2" t="str">
        <f>HYPERLINK("https://my.zakupivli.pro/remote/dispatcher/state_purchase_view/67650939", "UA-2026-04-21-007832-a")</f>
        <v>UA-2026-04-21-007832-a</v>
      </c>
      <c r="C88" s="1" t="s">
        <v>1440</v>
      </c>
      <c r="D88" s="1" t="s">
        <v>909</v>
      </c>
      <c r="E88" s="1" t="s">
        <v>1553</v>
      </c>
      <c r="F88" s="1" t="s">
        <v>87</v>
      </c>
      <c r="G88" s="1" t="s">
        <v>2018</v>
      </c>
      <c r="H88" s="1" t="s">
        <v>611</v>
      </c>
      <c r="I88" s="1" t="s">
        <v>279</v>
      </c>
      <c r="J88" s="6">
        <v>3891</v>
      </c>
      <c r="K88" s="5">
        <v>46132</v>
      </c>
      <c r="L88" s="7">
        <v>46387</v>
      </c>
    </row>
    <row r="89" spans="1:12" hidden="1" x14ac:dyDescent="0.25">
      <c r="A89" s="4">
        <v>83</v>
      </c>
      <c r="B89" s="2" t="str">
        <f>HYPERLINK("https://my.zakupivli.pro/remote/dispatcher/state_purchase_view/67650261", "UA-2026-04-21-007533-a")</f>
        <v>UA-2026-04-21-007533-a</v>
      </c>
      <c r="C89" s="1" t="s">
        <v>1927</v>
      </c>
      <c r="D89" s="1" t="s">
        <v>1259</v>
      </c>
      <c r="E89" s="1" t="s">
        <v>1553</v>
      </c>
      <c r="F89" s="1" t="s">
        <v>87</v>
      </c>
      <c r="G89" s="1" t="s">
        <v>2164</v>
      </c>
      <c r="H89" s="1" t="s">
        <v>808</v>
      </c>
      <c r="I89" s="1" t="s">
        <v>1757</v>
      </c>
      <c r="J89" s="6">
        <v>1080</v>
      </c>
      <c r="K89" s="5">
        <v>46129</v>
      </c>
      <c r="L89" s="7">
        <v>46387</v>
      </c>
    </row>
    <row r="90" spans="1:12" ht="51.75" x14ac:dyDescent="0.25">
      <c r="A90" s="4">
        <v>51</v>
      </c>
      <c r="B90" s="2" t="str">
        <f>HYPERLINK("https://my.zakupivli.pro/remote/dispatcher/state_purchase_view/67634648", "UA-2026-04-21-001023-a")</f>
        <v>UA-2026-04-21-001023-a</v>
      </c>
      <c r="C90" s="8" t="s">
        <v>1461</v>
      </c>
      <c r="D90" s="1" t="s">
        <v>479</v>
      </c>
      <c r="E90" s="1" t="s">
        <v>1553</v>
      </c>
      <c r="F90" s="1" t="s">
        <v>87</v>
      </c>
      <c r="G90" s="1" t="s">
        <v>2113</v>
      </c>
      <c r="H90" s="1" t="s">
        <v>1067</v>
      </c>
      <c r="I90" s="9" t="s">
        <v>414</v>
      </c>
      <c r="J90" s="6">
        <v>1415286</v>
      </c>
      <c r="K90" s="5">
        <v>46164</v>
      </c>
      <c r="L90" s="7">
        <v>46387</v>
      </c>
    </row>
    <row r="91" spans="1:12" hidden="1" x14ac:dyDescent="0.25">
      <c r="A91" s="4">
        <v>85</v>
      </c>
      <c r="B91" s="2" t="str">
        <f>HYPERLINK("https://my.zakupivli.pro/remote/dispatcher/state_purchase_view/67591034", "UA-2026-04-17-008323-a")</f>
        <v>UA-2026-04-17-008323-a</v>
      </c>
      <c r="C91" s="1" t="s">
        <v>1861</v>
      </c>
      <c r="D91" s="1" t="s">
        <v>1148</v>
      </c>
      <c r="E91" s="1" t="s">
        <v>1553</v>
      </c>
      <c r="F91" s="1" t="s">
        <v>87</v>
      </c>
      <c r="G91" s="1" t="s">
        <v>1762</v>
      </c>
      <c r="H91" s="1" t="s">
        <v>821</v>
      </c>
      <c r="I91" s="1" t="s">
        <v>278</v>
      </c>
      <c r="J91" s="6">
        <v>12965.3</v>
      </c>
      <c r="K91" s="5">
        <v>46129</v>
      </c>
      <c r="L91" s="7">
        <v>46387</v>
      </c>
    </row>
    <row r="92" spans="1:12" hidden="1" x14ac:dyDescent="0.25">
      <c r="A92" s="4">
        <v>86</v>
      </c>
      <c r="B92" s="2" t="str">
        <f>HYPERLINK("https://my.zakupivli.pro/remote/dispatcher/state_purchase_view/67515345", "UA-2026-04-15-002848-a")</f>
        <v>UA-2026-04-15-002848-a</v>
      </c>
      <c r="C92" s="1" t="s">
        <v>1820</v>
      </c>
      <c r="D92" s="1" t="s">
        <v>1068</v>
      </c>
      <c r="E92" s="1" t="s">
        <v>1553</v>
      </c>
      <c r="F92" s="1" t="s">
        <v>87</v>
      </c>
      <c r="G92" s="1" t="s">
        <v>1772</v>
      </c>
      <c r="H92" s="1" t="s">
        <v>796</v>
      </c>
      <c r="I92" s="1" t="s">
        <v>277</v>
      </c>
      <c r="J92" s="6">
        <v>99853.84</v>
      </c>
      <c r="K92" s="5">
        <v>46127</v>
      </c>
      <c r="L92" s="7">
        <v>46387</v>
      </c>
    </row>
    <row r="93" spans="1:12" hidden="1" x14ac:dyDescent="0.25">
      <c r="A93" s="4">
        <v>87</v>
      </c>
      <c r="B93" s="2" t="str">
        <f>HYPERLINK("https://my.zakupivli.pro/remote/dispatcher/state_purchase_view/67503602", "UA-2026-04-14-010175-a")</f>
        <v>UA-2026-04-14-010175-a</v>
      </c>
      <c r="C93" s="1" t="s">
        <v>1894</v>
      </c>
      <c r="D93" s="1" t="s">
        <v>1066</v>
      </c>
      <c r="E93" s="1" t="s">
        <v>1553</v>
      </c>
      <c r="F93" s="1" t="s">
        <v>87</v>
      </c>
      <c r="G93" s="1" t="s">
        <v>1772</v>
      </c>
      <c r="H93" s="1" t="s">
        <v>796</v>
      </c>
      <c r="I93" s="1" t="s">
        <v>273</v>
      </c>
      <c r="J93" s="6">
        <v>99857.61</v>
      </c>
      <c r="K93" s="5">
        <v>46126</v>
      </c>
      <c r="L93" s="7">
        <v>46387</v>
      </c>
    </row>
    <row r="94" spans="1:12" hidden="1" x14ac:dyDescent="0.25">
      <c r="A94" s="4">
        <v>88</v>
      </c>
      <c r="B94" s="2" t="str">
        <f>HYPERLINK("https://my.zakupivli.pro/remote/dispatcher/state_purchase_view/67497886", "UA-2026-04-14-007632-a")</f>
        <v>UA-2026-04-14-007632-a</v>
      </c>
      <c r="C94" s="1" t="s">
        <v>1510</v>
      </c>
      <c r="D94" s="1" t="s">
        <v>638</v>
      </c>
      <c r="E94" s="1" t="s">
        <v>1553</v>
      </c>
      <c r="F94" s="1" t="s">
        <v>87</v>
      </c>
      <c r="G94" s="1" t="s">
        <v>1743</v>
      </c>
      <c r="H94" s="1" t="s">
        <v>538</v>
      </c>
      <c r="I94" s="1" t="s">
        <v>270</v>
      </c>
      <c r="J94" s="6">
        <v>8160</v>
      </c>
      <c r="K94" s="5">
        <v>46126</v>
      </c>
      <c r="L94" s="7">
        <v>46387</v>
      </c>
    </row>
    <row r="95" spans="1:12" hidden="1" x14ac:dyDescent="0.25">
      <c r="A95" s="4">
        <v>89</v>
      </c>
      <c r="B95" s="2" t="str">
        <f>HYPERLINK("https://my.zakupivli.pro/remote/dispatcher/state_purchase_view/67477385", "UA-2026-04-13-006330-a")</f>
        <v>UA-2026-04-13-006330-a</v>
      </c>
      <c r="C95" s="1" t="s">
        <v>1953</v>
      </c>
      <c r="D95" s="1" t="s">
        <v>267</v>
      </c>
      <c r="E95" s="1" t="s">
        <v>1553</v>
      </c>
      <c r="F95" s="1" t="s">
        <v>87</v>
      </c>
      <c r="G95" s="1" t="s">
        <v>2128</v>
      </c>
      <c r="H95" s="1" t="s">
        <v>633</v>
      </c>
      <c r="I95" s="1" t="s">
        <v>265</v>
      </c>
      <c r="J95" s="6">
        <v>402.9</v>
      </c>
      <c r="K95" s="5">
        <v>46125</v>
      </c>
      <c r="L95" s="7">
        <v>46387</v>
      </c>
    </row>
    <row r="96" spans="1:12" hidden="1" x14ac:dyDescent="0.25">
      <c r="A96" s="4">
        <v>90</v>
      </c>
      <c r="B96" s="2" t="str">
        <f>HYPERLINK("https://my.zakupivli.pro/remote/dispatcher/state_purchase_view/67474204", "UA-2026-04-13-004828-a")</f>
        <v>UA-2026-04-13-004828-a</v>
      </c>
      <c r="C96" s="1" t="s">
        <v>1658</v>
      </c>
      <c r="D96" s="1" t="s">
        <v>884</v>
      </c>
      <c r="E96" s="1" t="s">
        <v>1553</v>
      </c>
      <c r="F96" s="1" t="s">
        <v>87</v>
      </c>
      <c r="G96" s="1" t="s">
        <v>1635</v>
      </c>
      <c r="H96" s="1" t="s">
        <v>525</v>
      </c>
      <c r="I96" s="1" t="s">
        <v>179</v>
      </c>
      <c r="J96" s="6">
        <v>45560</v>
      </c>
      <c r="K96" s="5">
        <v>46125</v>
      </c>
      <c r="L96" s="7">
        <v>46387</v>
      </c>
    </row>
    <row r="97" spans="1:12" hidden="1" x14ac:dyDescent="0.25">
      <c r="A97" s="4">
        <v>91</v>
      </c>
      <c r="B97" s="2" t="str">
        <f>HYPERLINK("https://my.zakupivli.pro/remote/dispatcher/state_purchase_view/67474023", "UA-2026-04-13-004768-a")</f>
        <v>UA-2026-04-13-004768-a</v>
      </c>
      <c r="C97" s="1" t="s">
        <v>1733</v>
      </c>
      <c r="D97" s="1" t="s">
        <v>882</v>
      </c>
      <c r="E97" s="1" t="s">
        <v>1553</v>
      </c>
      <c r="F97" s="1" t="s">
        <v>87</v>
      </c>
      <c r="G97" s="1" t="s">
        <v>1635</v>
      </c>
      <c r="H97" s="1" t="s">
        <v>525</v>
      </c>
      <c r="I97" s="1" t="s">
        <v>124</v>
      </c>
      <c r="J97" s="6">
        <v>99900</v>
      </c>
      <c r="K97" s="5">
        <v>46125</v>
      </c>
      <c r="L97" s="7">
        <v>46387</v>
      </c>
    </row>
    <row r="98" spans="1:12" hidden="1" x14ac:dyDescent="0.25">
      <c r="A98" s="4">
        <v>92</v>
      </c>
      <c r="B98" s="2" t="str">
        <f>HYPERLINK("https://my.zakupivli.pro/remote/dispatcher/state_purchase_view/67473812", "UA-2026-04-13-004684-a")</f>
        <v>UA-2026-04-13-004684-a</v>
      </c>
      <c r="C98" s="1" t="s">
        <v>2050</v>
      </c>
      <c r="D98" s="1" t="s">
        <v>881</v>
      </c>
      <c r="E98" s="1" t="s">
        <v>1553</v>
      </c>
      <c r="F98" s="1" t="s">
        <v>87</v>
      </c>
      <c r="G98" s="1" t="s">
        <v>1635</v>
      </c>
      <c r="H98" s="1" t="s">
        <v>525</v>
      </c>
      <c r="I98" s="1" t="s">
        <v>155</v>
      </c>
      <c r="J98" s="6">
        <v>92000</v>
      </c>
      <c r="K98" s="5">
        <v>46125</v>
      </c>
      <c r="L98" s="7">
        <v>46387</v>
      </c>
    </row>
    <row r="99" spans="1:12" hidden="1" x14ac:dyDescent="0.25">
      <c r="A99" s="4">
        <v>93</v>
      </c>
      <c r="B99" s="2" t="str">
        <f>HYPERLINK("https://my.zakupivli.pro/remote/dispatcher/state_purchase_view/67473633", "UA-2026-04-13-004586-a")</f>
        <v>UA-2026-04-13-004586-a</v>
      </c>
      <c r="C99" s="1" t="s">
        <v>1660</v>
      </c>
      <c r="D99" s="1" t="s">
        <v>885</v>
      </c>
      <c r="E99" s="1" t="s">
        <v>1553</v>
      </c>
      <c r="F99" s="1" t="s">
        <v>87</v>
      </c>
      <c r="G99" s="1" t="s">
        <v>1635</v>
      </c>
      <c r="H99" s="1" t="s">
        <v>525</v>
      </c>
      <c r="I99" s="1" t="s">
        <v>194</v>
      </c>
      <c r="J99" s="6">
        <v>84000</v>
      </c>
      <c r="K99" s="5">
        <v>46125</v>
      </c>
      <c r="L99" s="7">
        <v>46387</v>
      </c>
    </row>
    <row r="100" spans="1:12" hidden="1" x14ac:dyDescent="0.25">
      <c r="A100" s="4">
        <v>94</v>
      </c>
      <c r="B100" s="2" t="str">
        <f>HYPERLINK("https://my.zakupivli.pro/remote/dispatcher/state_purchase_view/67464425", "UA-2026-04-13-000425-a")</f>
        <v>UA-2026-04-13-000425-a</v>
      </c>
      <c r="C100" s="1" t="s">
        <v>1960</v>
      </c>
      <c r="D100" s="1" t="s">
        <v>1077</v>
      </c>
      <c r="E100" s="1" t="s">
        <v>1553</v>
      </c>
      <c r="F100" s="1" t="s">
        <v>87</v>
      </c>
      <c r="G100" s="1" t="s">
        <v>1763</v>
      </c>
      <c r="H100" s="1" t="s">
        <v>107</v>
      </c>
      <c r="I100" s="1" t="s">
        <v>1995</v>
      </c>
      <c r="J100" s="6">
        <v>19678.61</v>
      </c>
      <c r="K100" s="5">
        <v>46125</v>
      </c>
      <c r="L100" s="7">
        <v>46387</v>
      </c>
    </row>
    <row r="101" spans="1:12" hidden="1" x14ac:dyDescent="0.25">
      <c r="A101" s="4">
        <v>95</v>
      </c>
      <c r="B101" s="2" t="str">
        <f>HYPERLINK("https://my.zakupivli.pro/remote/dispatcher/state_purchase_view/67455815", "UA-2026-04-10-007617-a")</f>
        <v>UA-2026-04-10-007617-a</v>
      </c>
      <c r="C101" s="1" t="s">
        <v>1787</v>
      </c>
      <c r="D101" s="1" t="s">
        <v>128</v>
      </c>
      <c r="E101" s="1" t="s">
        <v>1553</v>
      </c>
      <c r="F101" s="1" t="s">
        <v>87</v>
      </c>
      <c r="G101" s="1" t="s">
        <v>1764</v>
      </c>
      <c r="H101" s="1" t="s">
        <v>105</v>
      </c>
      <c r="I101" s="1" t="s">
        <v>1315</v>
      </c>
      <c r="J101" s="6">
        <v>13000000</v>
      </c>
      <c r="K101" s="5">
        <v>46120</v>
      </c>
      <c r="L101" s="7">
        <v>46387</v>
      </c>
    </row>
    <row r="102" spans="1:12" hidden="1" x14ac:dyDescent="0.25">
      <c r="A102" s="4">
        <v>96</v>
      </c>
      <c r="B102" s="2" t="str">
        <f>HYPERLINK("https://my.zakupivli.pro/remote/dispatcher/state_purchase_view/67404640", "UA-2026-04-08-012345-a")</f>
        <v>UA-2026-04-08-012345-a</v>
      </c>
      <c r="C102" s="1" t="s">
        <v>1701</v>
      </c>
      <c r="D102" s="1" t="s">
        <v>1304</v>
      </c>
      <c r="E102" s="1" t="s">
        <v>1553</v>
      </c>
      <c r="F102" s="1" t="s">
        <v>87</v>
      </c>
      <c r="G102" s="1" t="s">
        <v>1765</v>
      </c>
      <c r="H102" s="1" t="s">
        <v>997</v>
      </c>
      <c r="I102" s="1" t="s">
        <v>246</v>
      </c>
      <c r="J102" s="6">
        <v>3600</v>
      </c>
      <c r="K102" s="5">
        <v>46120</v>
      </c>
      <c r="L102" s="7">
        <v>46387</v>
      </c>
    </row>
    <row r="103" spans="1:12" hidden="1" x14ac:dyDescent="0.25">
      <c r="A103" s="4">
        <v>97</v>
      </c>
      <c r="B103" s="2" t="str">
        <f>HYPERLINK("https://my.zakupivli.pro/remote/dispatcher/state_purchase_view/67404257", "UA-2026-04-08-012119-a")</f>
        <v>UA-2026-04-08-012119-a</v>
      </c>
      <c r="C103" s="1" t="s">
        <v>1701</v>
      </c>
      <c r="D103" s="1" t="s">
        <v>1304</v>
      </c>
      <c r="E103" s="1" t="s">
        <v>1553</v>
      </c>
      <c r="F103" s="1" t="s">
        <v>87</v>
      </c>
      <c r="G103" s="1" t="s">
        <v>1765</v>
      </c>
      <c r="H103" s="1" t="s">
        <v>997</v>
      </c>
      <c r="I103" s="1" t="s">
        <v>247</v>
      </c>
      <c r="J103" s="6">
        <v>3600</v>
      </c>
      <c r="K103" s="5">
        <v>46120</v>
      </c>
      <c r="L103" s="7">
        <v>46387</v>
      </c>
    </row>
    <row r="104" spans="1:12" hidden="1" x14ac:dyDescent="0.25">
      <c r="A104" s="4">
        <v>98</v>
      </c>
      <c r="B104" s="2" t="str">
        <f>HYPERLINK("https://my.zakupivli.pro/remote/dispatcher/state_purchase_view/67403852", "UA-2026-04-08-011979-a")</f>
        <v>UA-2026-04-08-011979-a</v>
      </c>
      <c r="C104" s="1" t="s">
        <v>1701</v>
      </c>
      <c r="D104" s="1" t="s">
        <v>1304</v>
      </c>
      <c r="E104" s="1" t="s">
        <v>1553</v>
      </c>
      <c r="F104" s="1" t="s">
        <v>87</v>
      </c>
      <c r="G104" s="1" t="s">
        <v>1765</v>
      </c>
      <c r="H104" s="1" t="s">
        <v>997</v>
      </c>
      <c r="I104" s="1" t="s">
        <v>253</v>
      </c>
      <c r="J104" s="6">
        <v>3600</v>
      </c>
      <c r="K104" s="5">
        <v>46120</v>
      </c>
      <c r="L104" s="7">
        <v>46387</v>
      </c>
    </row>
    <row r="105" spans="1:12" hidden="1" x14ac:dyDescent="0.25">
      <c r="A105" s="4">
        <v>99</v>
      </c>
      <c r="B105" s="2" t="str">
        <f>HYPERLINK("https://my.zakupivli.pro/remote/dispatcher/state_purchase_view/67402839", "UA-2026-04-08-011464-a")</f>
        <v>UA-2026-04-08-011464-a</v>
      </c>
      <c r="C105" s="1" t="s">
        <v>1513</v>
      </c>
      <c r="D105" s="1" t="s">
        <v>995</v>
      </c>
      <c r="E105" s="1" t="s">
        <v>1553</v>
      </c>
      <c r="F105" s="1" t="s">
        <v>87</v>
      </c>
      <c r="G105" s="1" t="s">
        <v>2134</v>
      </c>
      <c r="H105" s="1" t="s">
        <v>955</v>
      </c>
      <c r="I105" s="1" t="s">
        <v>245</v>
      </c>
      <c r="J105" s="6">
        <v>3300</v>
      </c>
      <c r="K105" s="5">
        <v>46120</v>
      </c>
      <c r="L105" s="7">
        <v>46387</v>
      </c>
    </row>
    <row r="106" spans="1:12" hidden="1" x14ac:dyDescent="0.25">
      <c r="A106" s="4">
        <v>100</v>
      </c>
      <c r="B106" s="2" t="str">
        <f>HYPERLINK("https://my.zakupivli.pro/remote/dispatcher/state_purchase_view/67371072", "UA-2026-04-07-012136-a")</f>
        <v>UA-2026-04-07-012136-a</v>
      </c>
      <c r="C106" s="1" t="s">
        <v>34</v>
      </c>
      <c r="D106" s="1" t="s">
        <v>1160</v>
      </c>
      <c r="E106" s="1" t="s">
        <v>1553</v>
      </c>
      <c r="F106" s="1" t="s">
        <v>87</v>
      </c>
      <c r="G106" s="1" t="s">
        <v>2015</v>
      </c>
      <c r="H106" s="1" t="s">
        <v>505</v>
      </c>
      <c r="I106" s="1" t="s">
        <v>258</v>
      </c>
      <c r="J106" s="6">
        <v>29880</v>
      </c>
      <c r="K106" s="5">
        <v>46119</v>
      </c>
      <c r="L106" s="7">
        <v>46387</v>
      </c>
    </row>
    <row r="107" spans="1:12" ht="115.5" x14ac:dyDescent="0.25">
      <c r="A107" s="4">
        <v>52</v>
      </c>
      <c r="B107" s="2" t="str">
        <f>HYPERLINK("https://my.zakupivli.pro/remote/dispatcher/state_purchase_view/67354212", "UA-2026-04-07-004682-a")</f>
        <v>UA-2026-04-07-004682-a</v>
      </c>
      <c r="C107" s="8" t="s">
        <v>1839</v>
      </c>
      <c r="D107" s="1" t="s">
        <v>1149</v>
      </c>
      <c r="E107" s="1" t="s">
        <v>1553</v>
      </c>
      <c r="F107" s="1" t="s">
        <v>87</v>
      </c>
      <c r="G107" s="1" t="s">
        <v>2235</v>
      </c>
      <c r="H107" s="1" t="s">
        <v>815</v>
      </c>
      <c r="I107" s="9" t="s">
        <v>332</v>
      </c>
      <c r="J107" s="6">
        <v>273020</v>
      </c>
      <c r="K107" s="5">
        <v>46149</v>
      </c>
      <c r="L107" s="7">
        <v>46387</v>
      </c>
    </row>
    <row r="108" spans="1:12" hidden="1" x14ac:dyDescent="0.25">
      <c r="A108" s="4">
        <v>102</v>
      </c>
      <c r="B108" s="2" t="str">
        <f>HYPERLINK("https://my.zakupivli.pro/remote/dispatcher/state_purchase_view/67351909", "UA-2026-04-07-003659-a")</f>
        <v>UA-2026-04-07-003659-a</v>
      </c>
      <c r="C108" s="1" t="s">
        <v>30</v>
      </c>
      <c r="D108" s="1" t="s">
        <v>1282</v>
      </c>
      <c r="E108" s="1" t="s">
        <v>1553</v>
      </c>
      <c r="F108" s="1" t="s">
        <v>87</v>
      </c>
      <c r="G108" s="1" t="s">
        <v>1405</v>
      </c>
      <c r="H108" s="1" t="s">
        <v>780</v>
      </c>
      <c r="I108" s="1" t="s">
        <v>256</v>
      </c>
      <c r="J108" s="6">
        <v>34875</v>
      </c>
      <c r="K108" s="5">
        <v>46119</v>
      </c>
      <c r="L108" s="7">
        <v>46387</v>
      </c>
    </row>
    <row r="109" spans="1:12" ht="409.6" x14ac:dyDescent="0.25">
      <c r="A109" s="4">
        <v>53</v>
      </c>
      <c r="B109" s="2" t="str">
        <f>HYPERLINK("https://my.zakupivli.pro/remote/dispatcher/state_purchase_view/67351864", "UA-2026-04-07-003616-a")</f>
        <v>UA-2026-04-07-003616-a</v>
      </c>
      <c r="C109" s="8" t="s">
        <v>1840</v>
      </c>
      <c r="D109" s="1" t="s">
        <v>1149</v>
      </c>
      <c r="E109" s="1" t="s">
        <v>1553</v>
      </c>
      <c r="F109" s="1" t="s">
        <v>87</v>
      </c>
      <c r="G109" s="1" t="s">
        <v>2235</v>
      </c>
      <c r="H109" s="1" t="s">
        <v>815</v>
      </c>
      <c r="I109" s="9" t="s">
        <v>327</v>
      </c>
      <c r="J109" s="6">
        <v>1230300</v>
      </c>
      <c r="K109" s="5">
        <v>46149</v>
      </c>
      <c r="L109" s="7">
        <v>46387</v>
      </c>
    </row>
    <row r="110" spans="1:12" hidden="1" x14ac:dyDescent="0.25">
      <c r="A110" s="4">
        <v>104</v>
      </c>
      <c r="B110" s="2" t="str">
        <f>HYPERLINK("https://my.zakupivli.pro/remote/dispatcher/state_purchase_view/67338573", "UA-2026-04-06-011849-a")</f>
        <v>UA-2026-04-06-011849-a</v>
      </c>
      <c r="C110" s="1" t="s">
        <v>1673</v>
      </c>
      <c r="D110" s="1" t="s">
        <v>757</v>
      </c>
      <c r="E110" s="1" t="s">
        <v>1553</v>
      </c>
      <c r="F110" s="1" t="s">
        <v>87</v>
      </c>
      <c r="G110" s="1" t="s">
        <v>2016</v>
      </c>
      <c r="H110" s="1" t="s">
        <v>462</v>
      </c>
      <c r="I110" s="1" t="s">
        <v>394</v>
      </c>
      <c r="J110" s="6">
        <v>11100</v>
      </c>
      <c r="K110" s="5">
        <v>46108</v>
      </c>
      <c r="L110" s="7">
        <v>46387</v>
      </c>
    </row>
    <row r="111" spans="1:12" hidden="1" x14ac:dyDescent="0.25">
      <c r="A111" s="4">
        <v>105</v>
      </c>
      <c r="B111" s="2" t="str">
        <f>HYPERLINK("https://my.zakupivli.pro/remote/dispatcher/state_purchase_view/67334041", "UA-2026-04-06-009855-a")</f>
        <v>UA-2026-04-06-009855-a</v>
      </c>
      <c r="C111" s="1" t="s">
        <v>1443</v>
      </c>
      <c r="D111" s="1" t="s">
        <v>1254</v>
      </c>
      <c r="E111" s="1" t="s">
        <v>1553</v>
      </c>
      <c r="F111" s="1" t="s">
        <v>87</v>
      </c>
      <c r="G111" s="1" t="s">
        <v>1471</v>
      </c>
      <c r="H111" s="1" t="s">
        <v>863</v>
      </c>
      <c r="I111" s="1" t="s">
        <v>301</v>
      </c>
      <c r="J111" s="6">
        <v>1794268.8</v>
      </c>
      <c r="K111" s="5">
        <v>46136</v>
      </c>
      <c r="L111" s="7">
        <v>46387</v>
      </c>
    </row>
    <row r="112" spans="1:12" hidden="1" x14ac:dyDescent="0.25">
      <c r="A112" s="4">
        <v>106</v>
      </c>
      <c r="B112" s="2" t="str">
        <f>HYPERLINK("https://my.zakupivli.pro/remote/dispatcher/state_purchase_view/67321964", "UA-2026-04-06-004648-a")</f>
        <v>UA-2026-04-06-004648-a</v>
      </c>
      <c r="C112" s="1" t="s">
        <v>2031</v>
      </c>
      <c r="D112" s="1" t="s">
        <v>736</v>
      </c>
      <c r="E112" s="1" t="s">
        <v>1553</v>
      </c>
      <c r="F112" s="1" t="s">
        <v>87</v>
      </c>
      <c r="G112" s="1" t="s">
        <v>2228</v>
      </c>
      <c r="H112" s="1" t="s">
        <v>625</v>
      </c>
      <c r="I112" s="1" t="s">
        <v>316</v>
      </c>
      <c r="J112" s="6">
        <v>1073511.8999999999</v>
      </c>
      <c r="K112" s="5">
        <v>46141</v>
      </c>
      <c r="L112" s="7">
        <v>46387</v>
      </c>
    </row>
    <row r="113" spans="1:12" hidden="1" x14ac:dyDescent="0.25">
      <c r="A113" s="4">
        <v>107</v>
      </c>
      <c r="B113" s="2" t="str">
        <f>HYPERLINK("https://my.zakupivli.pro/remote/dispatcher/state_purchase_view/67265831", "UA-2026-04-02-007878-a")</f>
        <v>UA-2026-04-02-007878-a</v>
      </c>
      <c r="C113" s="1" t="s">
        <v>1673</v>
      </c>
      <c r="D113" s="1" t="s">
        <v>757</v>
      </c>
      <c r="E113" s="1" t="s">
        <v>1553</v>
      </c>
      <c r="F113" s="1" t="s">
        <v>87</v>
      </c>
      <c r="G113" s="1" t="s">
        <v>2210</v>
      </c>
      <c r="H113" s="1" t="s">
        <v>876</v>
      </c>
      <c r="I113" s="1" t="s">
        <v>244</v>
      </c>
      <c r="J113" s="6">
        <v>2635</v>
      </c>
      <c r="K113" s="5">
        <v>46114</v>
      </c>
      <c r="L113" s="7">
        <v>46387</v>
      </c>
    </row>
    <row r="114" spans="1:12" hidden="1" x14ac:dyDescent="0.25">
      <c r="A114" s="4">
        <v>108</v>
      </c>
      <c r="B114" s="2" t="str">
        <f>HYPERLINK("https://my.zakupivli.pro/remote/dispatcher/state_purchase_view/67253333", "UA-2026-04-02-002198-a")</f>
        <v>UA-2026-04-02-002198-a</v>
      </c>
      <c r="C114" s="1" t="s">
        <v>1876</v>
      </c>
      <c r="D114" s="1" t="s">
        <v>1149</v>
      </c>
      <c r="E114" s="1" t="s">
        <v>1553</v>
      </c>
      <c r="F114" s="1" t="s">
        <v>87</v>
      </c>
      <c r="G114" s="1" t="s">
        <v>2149</v>
      </c>
      <c r="H114" s="1" t="s">
        <v>803</v>
      </c>
      <c r="I114" s="1" t="s">
        <v>243</v>
      </c>
      <c r="J114" s="6">
        <v>294000</v>
      </c>
      <c r="K114" s="5">
        <v>46112</v>
      </c>
      <c r="L114" s="7">
        <v>46387</v>
      </c>
    </row>
    <row r="115" spans="1:12" ht="64.5" x14ac:dyDescent="0.25">
      <c r="A115" s="4">
        <v>54</v>
      </c>
      <c r="B115" s="2" t="str">
        <f>HYPERLINK("https://my.zakupivli.pro/remote/dispatcher/state_purchase_view/67241632", "UA-2026-04-01-010985-a")</f>
        <v>UA-2026-04-01-010985-a</v>
      </c>
      <c r="C115" s="8" t="s">
        <v>1590</v>
      </c>
      <c r="D115" s="8" t="s">
        <v>1290</v>
      </c>
      <c r="E115" s="1" t="s">
        <v>1553</v>
      </c>
      <c r="F115" s="1" t="s">
        <v>87</v>
      </c>
      <c r="G115" s="1" t="s">
        <v>2259</v>
      </c>
      <c r="H115" s="1" t="s">
        <v>665</v>
      </c>
      <c r="I115" s="16" t="s">
        <v>339</v>
      </c>
      <c r="J115" s="6">
        <v>297900</v>
      </c>
      <c r="K115" s="5">
        <v>46150</v>
      </c>
      <c r="L115" s="7">
        <v>46387</v>
      </c>
    </row>
    <row r="116" spans="1:12" hidden="1" x14ac:dyDescent="0.25">
      <c r="A116" s="4">
        <v>110</v>
      </c>
      <c r="B116" s="2" t="str">
        <f>HYPERLINK("https://my.zakupivli.pro/remote/dispatcher/state_purchase_view/67240557", "UA-2026-04-01-010548-a")</f>
        <v>UA-2026-04-01-010548-a</v>
      </c>
      <c r="C116" s="1" t="s">
        <v>1845</v>
      </c>
      <c r="D116" s="1" t="s">
        <v>1303</v>
      </c>
      <c r="E116" s="1" t="s">
        <v>1553</v>
      </c>
      <c r="F116" s="1" t="s">
        <v>87</v>
      </c>
      <c r="G116" s="1" t="s">
        <v>1687</v>
      </c>
      <c r="H116" s="1" t="s">
        <v>521</v>
      </c>
      <c r="I116" s="1" t="s">
        <v>209</v>
      </c>
      <c r="J116" s="6">
        <v>4412</v>
      </c>
      <c r="K116" s="5">
        <v>46113</v>
      </c>
      <c r="L116" s="7">
        <v>46387</v>
      </c>
    </row>
    <row r="117" spans="1:12" hidden="1" x14ac:dyDescent="0.25">
      <c r="A117" s="4">
        <v>111</v>
      </c>
      <c r="B117" s="2" t="str">
        <f>HYPERLINK("https://my.zakupivli.pro/remote/dispatcher/state_purchase_view/67239756", "UA-2026-04-01-010132-a")</f>
        <v>UA-2026-04-01-010132-a</v>
      </c>
      <c r="C117" s="1" t="s">
        <v>1842</v>
      </c>
      <c r="D117" s="1" t="s">
        <v>1138</v>
      </c>
      <c r="E117" s="1" t="s">
        <v>1553</v>
      </c>
      <c r="F117" s="1" t="s">
        <v>87</v>
      </c>
      <c r="G117" s="1" t="s">
        <v>2016</v>
      </c>
      <c r="H117" s="1" t="s">
        <v>462</v>
      </c>
      <c r="I117" s="1" t="s">
        <v>392</v>
      </c>
      <c r="J117" s="6">
        <v>11100</v>
      </c>
      <c r="K117" s="5">
        <v>46108</v>
      </c>
      <c r="L117" s="7">
        <v>46387</v>
      </c>
    </row>
    <row r="118" spans="1:12" hidden="1" x14ac:dyDescent="0.25">
      <c r="A118" s="4">
        <v>112</v>
      </c>
      <c r="B118" s="2" t="str">
        <f>HYPERLINK("https://my.zakupivli.pro/remote/dispatcher/state_purchase_view/67231955", "UA-2026-04-01-006666-a")</f>
        <v>UA-2026-04-01-006666-a</v>
      </c>
      <c r="C118" s="1" t="s">
        <v>1952</v>
      </c>
      <c r="D118" s="1" t="s">
        <v>266</v>
      </c>
      <c r="E118" s="1" t="s">
        <v>1553</v>
      </c>
      <c r="F118" s="1" t="s">
        <v>87</v>
      </c>
      <c r="G118" s="1" t="s">
        <v>2108</v>
      </c>
      <c r="H118" s="1" t="s">
        <v>846</v>
      </c>
      <c r="I118" s="1" t="s">
        <v>1739</v>
      </c>
      <c r="J118" s="6">
        <v>36996.6</v>
      </c>
      <c r="K118" s="5">
        <v>46113</v>
      </c>
      <c r="L118" s="7">
        <v>46387</v>
      </c>
    </row>
    <row r="119" spans="1:12" hidden="1" x14ac:dyDescent="0.25">
      <c r="A119" s="4">
        <v>113</v>
      </c>
      <c r="B119" s="2" t="str">
        <f>HYPERLINK("https://my.zakupivli.pro/remote/dispatcher/state_purchase_view/67202831", "UA-2026-03-31-006245-a")</f>
        <v>UA-2026-03-31-006245-a</v>
      </c>
      <c r="C119" s="1" t="s">
        <v>1506</v>
      </c>
      <c r="D119" s="1" t="s">
        <v>127</v>
      </c>
      <c r="E119" s="1" t="s">
        <v>1553</v>
      </c>
      <c r="F119" s="1" t="s">
        <v>87</v>
      </c>
      <c r="G119" s="1" t="s">
        <v>1476</v>
      </c>
      <c r="H119" s="1" t="s">
        <v>345</v>
      </c>
      <c r="I119" s="1" t="s">
        <v>233</v>
      </c>
      <c r="J119" s="6">
        <v>532204.61</v>
      </c>
      <c r="K119" s="5">
        <v>46023</v>
      </c>
      <c r="L119" s="7">
        <v>46127</v>
      </c>
    </row>
    <row r="120" spans="1:12" hidden="1" x14ac:dyDescent="0.25">
      <c r="A120" s="4">
        <v>114</v>
      </c>
      <c r="B120" s="2" t="str">
        <f>HYPERLINK("https://my.zakupivli.pro/remote/dispatcher/state_purchase_view/67198152", "UA-2026-03-31-004063-a")</f>
        <v>UA-2026-03-31-004063-a</v>
      </c>
      <c r="C120" s="1" t="s">
        <v>2185</v>
      </c>
      <c r="D120" s="1" t="s">
        <v>1336</v>
      </c>
      <c r="E120" s="1" t="s">
        <v>1553</v>
      </c>
      <c r="F120" s="1" t="s">
        <v>87</v>
      </c>
      <c r="G120" s="1" t="s">
        <v>1773</v>
      </c>
      <c r="H120" s="1" t="s">
        <v>614</v>
      </c>
      <c r="I120" s="1" t="s">
        <v>930</v>
      </c>
      <c r="J120" s="6">
        <v>19000</v>
      </c>
      <c r="K120" s="5">
        <v>46112</v>
      </c>
      <c r="L120" s="7">
        <v>46387</v>
      </c>
    </row>
    <row r="121" spans="1:12" hidden="1" x14ac:dyDescent="0.25">
      <c r="A121" s="4">
        <v>115</v>
      </c>
      <c r="B121" s="2" t="str">
        <f>HYPERLINK("https://my.zakupivli.pro/remote/dispatcher/state_purchase_view/67196975", "UA-2026-03-31-003535-a")</f>
        <v>UA-2026-03-31-003535-a</v>
      </c>
      <c r="C121" s="1" t="s">
        <v>2185</v>
      </c>
      <c r="D121" s="1" t="s">
        <v>1336</v>
      </c>
      <c r="E121" s="1" t="s">
        <v>1553</v>
      </c>
      <c r="F121" s="1" t="s">
        <v>87</v>
      </c>
      <c r="G121" s="1" t="s">
        <v>2157</v>
      </c>
      <c r="H121" s="1" t="s">
        <v>774</v>
      </c>
      <c r="I121" s="1" t="s">
        <v>426</v>
      </c>
      <c r="J121" s="6">
        <v>30000</v>
      </c>
      <c r="K121" s="5">
        <v>46112</v>
      </c>
      <c r="L121" s="7">
        <v>46387</v>
      </c>
    </row>
    <row r="122" spans="1:12" hidden="1" x14ac:dyDescent="0.25">
      <c r="A122" s="4">
        <v>116</v>
      </c>
      <c r="B122" s="2" t="str">
        <f>HYPERLINK("https://my.zakupivli.pro/remote/dispatcher/state_purchase_view/67196183", "UA-2026-03-31-003178-a")</f>
        <v>UA-2026-03-31-003178-a</v>
      </c>
      <c r="C122" s="1" t="s">
        <v>1981</v>
      </c>
      <c r="D122" s="1" t="s">
        <v>1304</v>
      </c>
      <c r="E122" s="1" t="s">
        <v>1553</v>
      </c>
      <c r="F122" s="1" t="s">
        <v>87</v>
      </c>
      <c r="G122" s="1" t="s">
        <v>1563</v>
      </c>
      <c r="H122" s="1" t="s">
        <v>115</v>
      </c>
      <c r="I122" s="1" t="s">
        <v>1273</v>
      </c>
      <c r="J122" s="6">
        <v>495</v>
      </c>
      <c r="K122" s="5">
        <v>46112</v>
      </c>
      <c r="L122" s="7">
        <v>46387</v>
      </c>
    </row>
    <row r="123" spans="1:12" hidden="1" x14ac:dyDescent="0.25">
      <c r="A123" s="4">
        <v>117</v>
      </c>
      <c r="B123" s="2" t="str">
        <f>HYPERLINK("https://my.zakupivli.pro/remote/dispatcher/state_purchase_view/67195260", "UA-2026-03-31-002771-a")</f>
        <v>UA-2026-03-31-002771-a</v>
      </c>
      <c r="C123" s="1" t="s">
        <v>1979</v>
      </c>
      <c r="D123" s="1" t="s">
        <v>1304</v>
      </c>
      <c r="E123" s="1" t="s">
        <v>1553</v>
      </c>
      <c r="F123" s="1" t="s">
        <v>87</v>
      </c>
      <c r="G123" s="1" t="s">
        <v>1563</v>
      </c>
      <c r="H123" s="1" t="s">
        <v>115</v>
      </c>
      <c r="I123" s="1" t="s">
        <v>1192</v>
      </c>
      <c r="J123" s="6">
        <v>4950</v>
      </c>
      <c r="K123" s="5">
        <v>46112</v>
      </c>
      <c r="L123" s="7">
        <v>46387</v>
      </c>
    </row>
    <row r="124" spans="1:12" hidden="1" x14ac:dyDescent="0.25">
      <c r="A124" s="4">
        <v>118</v>
      </c>
      <c r="B124" s="2" t="str">
        <f>HYPERLINK("https://my.zakupivli.pro/remote/dispatcher/state_purchase_view/67193728", "UA-2026-03-31-002072-a")</f>
        <v>UA-2026-03-31-002072-a</v>
      </c>
      <c r="C124" s="1" t="s">
        <v>1424</v>
      </c>
      <c r="D124" s="1" t="s">
        <v>1025</v>
      </c>
      <c r="E124" s="1" t="s">
        <v>1553</v>
      </c>
      <c r="F124" s="1" t="s">
        <v>87</v>
      </c>
      <c r="G124" s="1" t="s">
        <v>1623</v>
      </c>
      <c r="H124" s="1" t="s">
        <v>579</v>
      </c>
      <c r="I124" s="1" t="s">
        <v>231</v>
      </c>
      <c r="J124" s="6">
        <v>34900</v>
      </c>
      <c r="K124" s="5">
        <v>46111</v>
      </c>
      <c r="L124" s="7">
        <v>46387</v>
      </c>
    </row>
    <row r="125" spans="1:12" hidden="1" x14ac:dyDescent="0.25">
      <c r="A125" s="4">
        <v>119</v>
      </c>
      <c r="B125" s="2" t="str">
        <f>HYPERLINK("https://my.zakupivli.pro/remote/dispatcher/state_purchase_view/67180965", "UA-2026-03-30-008783-a")</f>
        <v>UA-2026-03-30-008783-a</v>
      </c>
      <c r="C125" s="1" t="s">
        <v>1673</v>
      </c>
      <c r="D125" s="1" t="s">
        <v>757</v>
      </c>
      <c r="E125" s="1" t="s">
        <v>1553</v>
      </c>
      <c r="F125" s="1" t="s">
        <v>87</v>
      </c>
      <c r="G125" s="1" t="s">
        <v>2116</v>
      </c>
      <c r="H125" s="1" t="s">
        <v>715</v>
      </c>
      <c r="I125" s="1" t="s">
        <v>241</v>
      </c>
      <c r="J125" s="6">
        <v>2040</v>
      </c>
      <c r="K125" s="5">
        <v>46111</v>
      </c>
      <c r="L125" s="7">
        <v>46387</v>
      </c>
    </row>
    <row r="126" spans="1:12" hidden="1" x14ac:dyDescent="0.25">
      <c r="A126" s="4">
        <v>120</v>
      </c>
      <c r="B126" s="2" t="str">
        <f>HYPERLINK("https://my.zakupivli.pro/remote/dispatcher/state_purchase_view/67180495", "UA-2026-03-30-008588-a")</f>
        <v>UA-2026-03-30-008588-a</v>
      </c>
      <c r="C126" s="1" t="s">
        <v>1673</v>
      </c>
      <c r="D126" s="1" t="s">
        <v>757</v>
      </c>
      <c r="E126" s="1" t="s">
        <v>1553</v>
      </c>
      <c r="F126" s="1" t="s">
        <v>87</v>
      </c>
      <c r="G126" s="1" t="s">
        <v>2116</v>
      </c>
      <c r="H126" s="1" t="s">
        <v>715</v>
      </c>
      <c r="I126" s="1" t="s">
        <v>236</v>
      </c>
      <c r="J126" s="6">
        <v>8930</v>
      </c>
      <c r="K126" s="5">
        <v>46111</v>
      </c>
      <c r="L126" s="7">
        <v>46387</v>
      </c>
    </row>
    <row r="127" spans="1:12" hidden="1" x14ac:dyDescent="0.25">
      <c r="A127" s="4">
        <v>121</v>
      </c>
      <c r="B127" s="2" t="str">
        <f>HYPERLINK("https://my.zakupivli.pro/remote/dispatcher/state_purchase_view/67178698", "UA-2026-03-30-007765-a")</f>
        <v>UA-2026-03-30-007765-a</v>
      </c>
      <c r="C127" s="1" t="s">
        <v>1495</v>
      </c>
      <c r="D127" s="1" t="s">
        <v>431</v>
      </c>
      <c r="E127" s="1" t="s">
        <v>1553</v>
      </c>
      <c r="F127" s="1" t="s">
        <v>87</v>
      </c>
      <c r="G127" s="1" t="s">
        <v>2144</v>
      </c>
      <c r="H127" s="1" t="s">
        <v>435</v>
      </c>
      <c r="I127" s="1" t="s">
        <v>290</v>
      </c>
      <c r="J127" s="6">
        <v>2196</v>
      </c>
      <c r="K127" s="5">
        <v>46111</v>
      </c>
      <c r="L127" s="7">
        <v>46387</v>
      </c>
    </row>
    <row r="128" spans="1:12" hidden="1" x14ac:dyDescent="0.25">
      <c r="A128" s="4">
        <v>122</v>
      </c>
      <c r="B128" s="2" t="str">
        <f>HYPERLINK("https://my.zakupivli.pro/remote/dispatcher/state_purchase_view/67110983", "UA-2026-03-26-005251-a")</f>
        <v>UA-2026-03-26-005251-a</v>
      </c>
      <c r="C128" s="1" t="s">
        <v>1710</v>
      </c>
      <c r="D128" s="1" t="s">
        <v>895</v>
      </c>
      <c r="E128" s="1" t="s">
        <v>1553</v>
      </c>
      <c r="F128" s="1" t="s">
        <v>87</v>
      </c>
      <c r="G128" s="1" t="s">
        <v>1551</v>
      </c>
      <c r="H128" s="1" t="s">
        <v>536</v>
      </c>
      <c r="I128" s="1" t="s">
        <v>230</v>
      </c>
      <c r="J128" s="6">
        <v>386</v>
      </c>
      <c r="K128" s="5">
        <v>46107</v>
      </c>
      <c r="L128" s="7">
        <v>46387</v>
      </c>
    </row>
    <row r="129" spans="1:12" hidden="1" x14ac:dyDescent="0.25">
      <c r="A129" s="4">
        <v>123</v>
      </c>
      <c r="B129" s="2" t="str">
        <f>HYPERLINK("https://my.zakupivli.pro/remote/dispatcher/state_purchase_view/67110439", "UA-2026-03-26-005024-a")</f>
        <v>UA-2026-03-26-005024-a</v>
      </c>
      <c r="C129" s="1" t="s">
        <v>1465</v>
      </c>
      <c r="D129" s="1" t="s">
        <v>768</v>
      </c>
      <c r="E129" s="1" t="s">
        <v>1553</v>
      </c>
      <c r="F129" s="1" t="s">
        <v>87</v>
      </c>
      <c r="G129" s="1" t="s">
        <v>1623</v>
      </c>
      <c r="H129" s="1" t="s">
        <v>579</v>
      </c>
      <c r="I129" s="1" t="s">
        <v>223</v>
      </c>
      <c r="J129" s="6">
        <v>33300</v>
      </c>
      <c r="K129" s="5">
        <v>46107</v>
      </c>
      <c r="L129" s="7">
        <v>46387</v>
      </c>
    </row>
    <row r="130" spans="1:12" hidden="1" x14ac:dyDescent="0.25">
      <c r="A130" s="4">
        <v>124</v>
      </c>
      <c r="B130" s="2" t="str">
        <f>HYPERLINK("https://my.zakupivli.pro/remote/dispatcher/state_purchase_view/67109273", "UA-2026-03-26-004442-a")</f>
        <v>UA-2026-03-26-004442-a</v>
      </c>
      <c r="C130" s="1" t="s">
        <v>1441</v>
      </c>
      <c r="D130" s="1" t="s">
        <v>915</v>
      </c>
      <c r="E130" s="1" t="s">
        <v>1553</v>
      </c>
      <c r="F130" s="1" t="s">
        <v>87</v>
      </c>
      <c r="G130" s="1" t="s">
        <v>2018</v>
      </c>
      <c r="H130" s="1" t="s">
        <v>611</v>
      </c>
      <c r="I130" s="1" t="s">
        <v>222</v>
      </c>
      <c r="J130" s="6">
        <v>98890</v>
      </c>
      <c r="K130" s="5">
        <v>46107</v>
      </c>
      <c r="L130" s="7">
        <v>46387</v>
      </c>
    </row>
    <row r="131" spans="1:12" hidden="1" x14ac:dyDescent="0.25">
      <c r="A131" s="4">
        <v>125</v>
      </c>
      <c r="B131" s="2" t="str">
        <f>HYPERLINK("https://my.zakupivli.pro/remote/dispatcher/state_purchase_view/67069518", "UA-2026-03-25-001857-a")</f>
        <v>UA-2026-03-25-001857-a</v>
      </c>
      <c r="C131" s="1" t="s">
        <v>1701</v>
      </c>
      <c r="D131" s="1" t="s">
        <v>1304</v>
      </c>
      <c r="E131" s="1" t="s">
        <v>1553</v>
      </c>
      <c r="F131" s="1" t="s">
        <v>87</v>
      </c>
      <c r="G131" s="1" t="s">
        <v>2137</v>
      </c>
      <c r="H131" s="1" t="s">
        <v>836</v>
      </c>
      <c r="I131" s="1" t="s">
        <v>308</v>
      </c>
      <c r="J131" s="6">
        <v>9840</v>
      </c>
      <c r="K131" s="5">
        <v>46106</v>
      </c>
      <c r="L131" s="7">
        <v>46387</v>
      </c>
    </row>
    <row r="132" spans="1:12" hidden="1" x14ac:dyDescent="0.25">
      <c r="A132" s="4">
        <v>126</v>
      </c>
      <c r="B132" s="2" t="str">
        <f>HYPERLINK("https://my.zakupivli.pro/remote/dispatcher/state_purchase_view/67048454", "UA-2026-03-24-007908-a")</f>
        <v>UA-2026-03-24-007908-a</v>
      </c>
      <c r="C132" s="1" t="s">
        <v>1393</v>
      </c>
      <c r="D132" s="1" t="s">
        <v>487</v>
      </c>
      <c r="E132" s="1" t="s">
        <v>1553</v>
      </c>
      <c r="F132" s="1" t="s">
        <v>87</v>
      </c>
      <c r="G132" s="1" t="s">
        <v>2085</v>
      </c>
      <c r="H132" s="1" t="s">
        <v>1009</v>
      </c>
      <c r="I132" s="1" t="s">
        <v>264</v>
      </c>
      <c r="J132" s="6">
        <v>272800.56</v>
      </c>
      <c r="K132" s="5">
        <v>46121</v>
      </c>
      <c r="L132" s="7">
        <v>46387</v>
      </c>
    </row>
    <row r="133" spans="1:12" hidden="1" x14ac:dyDescent="0.25">
      <c r="A133" s="4">
        <v>127</v>
      </c>
      <c r="B133" s="2" t="str">
        <f>HYPERLINK("https://my.zakupivli.pro/remote/dispatcher/state_purchase_view/67014163", "UA-2026-03-23-008164-a")</f>
        <v>UA-2026-03-23-008164-a</v>
      </c>
      <c r="C133" s="1" t="s">
        <v>1836</v>
      </c>
      <c r="D133" s="1" t="s">
        <v>1061</v>
      </c>
      <c r="E133" s="1" t="s">
        <v>1553</v>
      </c>
      <c r="F133" s="1" t="s">
        <v>87</v>
      </c>
      <c r="G133" s="1" t="s">
        <v>1772</v>
      </c>
      <c r="H133" s="1" t="s">
        <v>796</v>
      </c>
      <c r="I133" s="1" t="s">
        <v>183</v>
      </c>
      <c r="J133" s="6">
        <v>99990.33</v>
      </c>
      <c r="K133" s="5">
        <v>46094</v>
      </c>
      <c r="L133" s="7">
        <v>46387</v>
      </c>
    </row>
    <row r="134" spans="1:12" hidden="1" x14ac:dyDescent="0.25">
      <c r="A134" s="4">
        <v>128</v>
      </c>
      <c r="B134" s="2" t="str">
        <f>HYPERLINK("https://my.zakupivli.pro/remote/dispatcher/state_purchase_view/67013604", "UA-2026-03-23-007928-a")</f>
        <v>UA-2026-03-23-007928-a</v>
      </c>
      <c r="C134" s="1" t="s">
        <v>1838</v>
      </c>
      <c r="D134" s="1" t="s">
        <v>1075</v>
      </c>
      <c r="E134" s="1" t="s">
        <v>1553</v>
      </c>
      <c r="F134" s="1" t="s">
        <v>87</v>
      </c>
      <c r="G134" s="1" t="s">
        <v>1772</v>
      </c>
      <c r="H134" s="1" t="s">
        <v>796</v>
      </c>
      <c r="I134" s="1" t="s">
        <v>184</v>
      </c>
      <c r="J134" s="6">
        <v>99748.97</v>
      </c>
      <c r="K134" s="5">
        <v>46094</v>
      </c>
      <c r="L134" s="7">
        <v>46387</v>
      </c>
    </row>
    <row r="135" spans="1:12" hidden="1" x14ac:dyDescent="0.25">
      <c r="A135" s="4">
        <v>129</v>
      </c>
      <c r="B135" s="2" t="str">
        <f>HYPERLINK("https://my.zakupivli.pro/remote/dispatcher/state_purchase_view/67012034", "UA-2026-03-23-007227-a")</f>
        <v>UA-2026-03-23-007227-a</v>
      </c>
      <c r="C135" s="1" t="s">
        <v>31</v>
      </c>
      <c r="D135" s="1" t="s">
        <v>1146</v>
      </c>
      <c r="E135" s="1" t="s">
        <v>1553</v>
      </c>
      <c r="F135" s="1" t="s">
        <v>87</v>
      </c>
      <c r="G135" s="1" t="s">
        <v>2069</v>
      </c>
      <c r="H135" s="1" t="s">
        <v>551</v>
      </c>
      <c r="I135" s="1" t="s">
        <v>519</v>
      </c>
      <c r="J135" s="6">
        <v>2672</v>
      </c>
      <c r="K135" s="5">
        <v>46104</v>
      </c>
      <c r="L135" s="7">
        <v>46387</v>
      </c>
    </row>
    <row r="136" spans="1:12" hidden="1" x14ac:dyDescent="0.25">
      <c r="A136" s="4">
        <v>130</v>
      </c>
      <c r="B136" s="2" t="str">
        <f>HYPERLINK("https://my.zakupivli.pro/remote/dispatcher/state_purchase_view/67010634", "UA-2026-03-23-006645-a")</f>
        <v>UA-2026-03-23-006645-a</v>
      </c>
      <c r="C136" s="1" t="s">
        <v>1846</v>
      </c>
      <c r="D136" s="1" t="s">
        <v>1151</v>
      </c>
      <c r="E136" s="1" t="s">
        <v>1553</v>
      </c>
      <c r="F136" s="1" t="s">
        <v>87</v>
      </c>
      <c r="G136" s="1" t="s">
        <v>2069</v>
      </c>
      <c r="H136" s="1" t="s">
        <v>551</v>
      </c>
      <c r="I136" s="1" t="s">
        <v>518</v>
      </c>
      <c r="J136" s="6">
        <v>9555</v>
      </c>
      <c r="K136" s="5">
        <v>46104</v>
      </c>
      <c r="L136" s="7">
        <v>46387</v>
      </c>
    </row>
    <row r="137" spans="1:12" hidden="1" x14ac:dyDescent="0.25">
      <c r="A137" s="4">
        <v>131</v>
      </c>
      <c r="B137" s="2" t="str">
        <f>HYPERLINK("https://my.zakupivli.pro/remote/dispatcher/state_purchase_view/67009408", "UA-2026-03-23-006118-a")</f>
        <v>UA-2026-03-23-006118-a</v>
      </c>
      <c r="C137" s="1" t="s">
        <v>1937</v>
      </c>
      <c r="D137" s="1" t="s">
        <v>856</v>
      </c>
      <c r="E137" s="1" t="s">
        <v>1553</v>
      </c>
      <c r="F137" s="1" t="s">
        <v>87</v>
      </c>
      <c r="G137" s="1" t="s">
        <v>1479</v>
      </c>
      <c r="H137" s="1" t="s">
        <v>794</v>
      </c>
      <c r="I137" s="1" t="s">
        <v>1086</v>
      </c>
      <c r="J137" s="6">
        <v>7176</v>
      </c>
      <c r="K137" s="5">
        <v>46104</v>
      </c>
      <c r="L137" s="7">
        <v>46387</v>
      </c>
    </row>
    <row r="138" spans="1:12" hidden="1" x14ac:dyDescent="0.25">
      <c r="A138" s="4">
        <v>132</v>
      </c>
      <c r="B138" s="2" t="str">
        <f>HYPERLINK("https://my.zakupivli.pro/remote/dispatcher/state_purchase_view/67008759", "UA-2026-03-23-005828-a")</f>
        <v>UA-2026-03-23-005828-a</v>
      </c>
      <c r="C138" s="1" t="s">
        <v>2005</v>
      </c>
      <c r="D138" s="1" t="s">
        <v>670</v>
      </c>
      <c r="E138" s="1" t="s">
        <v>1553</v>
      </c>
      <c r="F138" s="1" t="s">
        <v>87</v>
      </c>
      <c r="G138" s="1" t="s">
        <v>2035</v>
      </c>
      <c r="H138" s="1" t="s">
        <v>692</v>
      </c>
      <c r="I138" s="1" t="s">
        <v>219</v>
      </c>
      <c r="J138" s="6">
        <v>24400</v>
      </c>
      <c r="K138" s="5">
        <v>46104</v>
      </c>
      <c r="L138" s="7">
        <v>46387</v>
      </c>
    </row>
    <row r="139" spans="1:12" hidden="1" x14ac:dyDescent="0.25">
      <c r="A139" s="4">
        <v>133</v>
      </c>
      <c r="B139" s="2" t="str">
        <f>HYPERLINK("https://my.zakupivli.pro/remote/dispatcher/state_purchase_view/67008108", "UA-2026-03-23-005552-a")</f>
        <v>UA-2026-03-23-005552-a</v>
      </c>
      <c r="C139" s="1" t="s">
        <v>2254</v>
      </c>
      <c r="D139" s="1" t="s">
        <v>494</v>
      </c>
      <c r="E139" s="1" t="s">
        <v>1553</v>
      </c>
      <c r="F139" s="1" t="s">
        <v>87</v>
      </c>
      <c r="G139" s="1" t="s">
        <v>2035</v>
      </c>
      <c r="H139" s="1" t="s">
        <v>692</v>
      </c>
      <c r="I139" s="1" t="s">
        <v>218</v>
      </c>
      <c r="J139" s="6">
        <v>8100</v>
      </c>
      <c r="K139" s="5">
        <v>46104</v>
      </c>
      <c r="L139" s="7">
        <v>46387</v>
      </c>
    </row>
    <row r="140" spans="1:12" hidden="1" x14ac:dyDescent="0.25">
      <c r="A140" s="4">
        <v>134</v>
      </c>
      <c r="B140" s="2" t="str">
        <f>HYPERLINK("https://my.zakupivli.pro/remote/dispatcher/state_purchase_view/67006777", "UA-2026-03-23-004986-a")</f>
        <v>UA-2026-03-23-004986-a</v>
      </c>
      <c r="C140" s="1" t="s">
        <v>1798</v>
      </c>
      <c r="D140" s="1" t="s">
        <v>952</v>
      </c>
      <c r="E140" s="1" t="s">
        <v>1553</v>
      </c>
      <c r="F140" s="1" t="s">
        <v>87</v>
      </c>
      <c r="G140" s="1" t="s">
        <v>2148</v>
      </c>
      <c r="H140" s="1" t="s">
        <v>116</v>
      </c>
      <c r="I140" s="1" t="s">
        <v>68</v>
      </c>
      <c r="J140" s="6">
        <v>95</v>
      </c>
      <c r="K140" s="5">
        <v>46091</v>
      </c>
      <c r="L140" s="7">
        <v>46387</v>
      </c>
    </row>
    <row r="141" spans="1:12" hidden="1" x14ac:dyDescent="0.25">
      <c r="A141" s="4">
        <v>135</v>
      </c>
      <c r="B141" s="2" t="str">
        <f>HYPERLINK("https://my.zakupivli.pro/remote/dispatcher/state_purchase_view/67005615", "UA-2026-03-23-004533-a")</f>
        <v>UA-2026-03-23-004533-a</v>
      </c>
      <c r="C141" s="1" t="s">
        <v>1364</v>
      </c>
      <c r="D141" s="1" t="s">
        <v>899</v>
      </c>
      <c r="E141" s="1" t="s">
        <v>1553</v>
      </c>
      <c r="F141" s="1" t="s">
        <v>87</v>
      </c>
      <c r="G141" s="1" t="s">
        <v>2018</v>
      </c>
      <c r="H141" s="1" t="s">
        <v>611</v>
      </c>
      <c r="I141" s="1" t="s">
        <v>200</v>
      </c>
      <c r="J141" s="6">
        <v>11864</v>
      </c>
      <c r="K141" s="5">
        <v>46104</v>
      </c>
      <c r="L141" s="7">
        <v>46387</v>
      </c>
    </row>
    <row r="142" spans="1:12" hidden="1" x14ac:dyDescent="0.25">
      <c r="A142" s="4">
        <v>136</v>
      </c>
      <c r="B142" s="2" t="str">
        <f>HYPERLINK("https://my.zakupivli.pro/remote/dispatcher/state_purchase_view/67004730", "UA-2026-03-23-004132-a")</f>
        <v>UA-2026-03-23-004132-a</v>
      </c>
      <c r="C142" s="1" t="s">
        <v>1916</v>
      </c>
      <c r="D142" s="1" t="s">
        <v>1223</v>
      </c>
      <c r="E142" s="1" t="s">
        <v>1553</v>
      </c>
      <c r="F142" s="1" t="s">
        <v>87</v>
      </c>
      <c r="G142" s="1" t="s">
        <v>1372</v>
      </c>
      <c r="H142" s="1" t="s">
        <v>385</v>
      </c>
      <c r="I142" s="1" t="s">
        <v>57</v>
      </c>
      <c r="J142" s="6">
        <v>936</v>
      </c>
      <c r="K142" s="5">
        <v>46099</v>
      </c>
      <c r="L142" s="7">
        <v>46387</v>
      </c>
    </row>
    <row r="143" spans="1:12" hidden="1" x14ac:dyDescent="0.25">
      <c r="A143" s="4">
        <v>137</v>
      </c>
      <c r="B143" s="2" t="str">
        <f>HYPERLINK("https://my.zakupivli.pro/remote/dispatcher/state_purchase_view/67002951", "UA-2026-03-23-003305-a")</f>
        <v>UA-2026-03-23-003305-a</v>
      </c>
      <c r="C143" s="1" t="s">
        <v>1410</v>
      </c>
      <c r="D143" s="1" t="s">
        <v>341</v>
      </c>
      <c r="E143" s="1" t="s">
        <v>1553</v>
      </c>
      <c r="F143" s="1" t="s">
        <v>87</v>
      </c>
      <c r="G143" s="1" t="s">
        <v>1457</v>
      </c>
      <c r="H143" s="1" t="s">
        <v>618</v>
      </c>
      <c r="I143" s="1" t="s">
        <v>217</v>
      </c>
      <c r="J143" s="6">
        <v>47423.040000000001</v>
      </c>
      <c r="K143" s="5">
        <v>46104</v>
      </c>
      <c r="L143" s="7">
        <v>46387</v>
      </c>
    </row>
    <row r="144" spans="1:12" hidden="1" x14ac:dyDescent="0.25">
      <c r="A144" s="4">
        <v>138</v>
      </c>
      <c r="B144" s="2" t="str">
        <f>HYPERLINK("https://my.zakupivli.pro/remote/dispatcher/state_purchase_view/67000893", "UA-2026-03-23-002431-a")</f>
        <v>UA-2026-03-23-002431-a</v>
      </c>
      <c r="C144" s="1" t="s">
        <v>1924</v>
      </c>
      <c r="D144" s="1" t="s">
        <v>1140</v>
      </c>
      <c r="E144" s="1" t="s">
        <v>1553</v>
      </c>
      <c r="F144" s="1" t="s">
        <v>87</v>
      </c>
      <c r="G144" s="1" t="s">
        <v>2116</v>
      </c>
      <c r="H144" s="1" t="s">
        <v>715</v>
      </c>
      <c r="I144" s="1" t="s">
        <v>388</v>
      </c>
      <c r="J144" s="6">
        <v>15000</v>
      </c>
      <c r="K144" s="5">
        <v>46094</v>
      </c>
      <c r="L144" s="7">
        <v>46387</v>
      </c>
    </row>
    <row r="145" spans="1:12" hidden="1" x14ac:dyDescent="0.25">
      <c r="A145" s="4">
        <v>139</v>
      </c>
      <c r="B145" s="2" t="str">
        <f>HYPERLINK("https://my.zakupivli.pro/remote/dispatcher/state_purchase_view/66999838", "UA-2026-03-23-002001-a")</f>
        <v>UA-2026-03-23-002001-a</v>
      </c>
      <c r="C145" s="1" t="s">
        <v>2183</v>
      </c>
      <c r="D145" s="1" t="s">
        <v>916</v>
      </c>
      <c r="E145" s="1" t="s">
        <v>1553</v>
      </c>
      <c r="F145" s="1" t="s">
        <v>87</v>
      </c>
      <c r="G145" s="1" t="s">
        <v>2035</v>
      </c>
      <c r="H145" s="1" t="s">
        <v>692</v>
      </c>
      <c r="I145" s="1" t="s">
        <v>216</v>
      </c>
      <c r="J145" s="6">
        <v>7280</v>
      </c>
      <c r="K145" s="5">
        <v>46104</v>
      </c>
      <c r="L145" s="7">
        <v>46387</v>
      </c>
    </row>
    <row r="146" spans="1:12" hidden="1" x14ac:dyDescent="0.25">
      <c r="A146" s="4">
        <v>140</v>
      </c>
      <c r="B146" s="2" t="str">
        <f>HYPERLINK("https://my.zakupivli.pro/remote/dispatcher/state_purchase_view/66998281", "UA-2026-03-23-001301-a")</f>
        <v>UA-2026-03-23-001301-a</v>
      </c>
      <c r="C146" s="1" t="s">
        <v>1936</v>
      </c>
      <c r="D146" s="1" t="s">
        <v>853</v>
      </c>
      <c r="E146" s="1" t="s">
        <v>1553</v>
      </c>
      <c r="F146" s="1" t="s">
        <v>87</v>
      </c>
      <c r="G146" s="1" t="s">
        <v>1623</v>
      </c>
      <c r="H146" s="1" t="s">
        <v>579</v>
      </c>
      <c r="I146" s="1" t="s">
        <v>202</v>
      </c>
      <c r="J146" s="6">
        <v>3767</v>
      </c>
      <c r="K146" s="5">
        <v>46104</v>
      </c>
      <c r="L146" s="7">
        <v>46387</v>
      </c>
    </row>
    <row r="147" spans="1:12" hidden="1" x14ac:dyDescent="0.25">
      <c r="A147" s="4">
        <v>141</v>
      </c>
      <c r="B147" s="2" t="str">
        <f>HYPERLINK("https://my.zakupivli.pro/remote/dispatcher/state_purchase_view/66998105", "UA-2026-03-23-001205-a")</f>
        <v>UA-2026-03-23-001205-a</v>
      </c>
      <c r="C147" s="1" t="s">
        <v>2038</v>
      </c>
      <c r="D147" s="1" t="s">
        <v>342</v>
      </c>
      <c r="E147" s="1" t="s">
        <v>1553</v>
      </c>
      <c r="F147" s="1" t="s">
        <v>87</v>
      </c>
      <c r="G147" s="1" t="s">
        <v>1623</v>
      </c>
      <c r="H147" s="1" t="s">
        <v>579</v>
      </c>
      <c r="I147" s="1" t="s">
        <v>201</v>
      </c>
      <c r="J147" s="6">
        <v>13038</v>
      </c>
      <c r="K147" s="5">
        <v>46104</v>
      </c>
      <c r="L147" s="7">
        <v>46387</v>
      </c>
    </row>
    <row r="148" spans="1:12" hidden="1" x14ac:dyDescent="0.25">
      <c r="A148" s="4">
        <v>142</v>
      </c>
      <c r="B148" s="2" t="str">
        <f>HYPERLINK("https://my.zakupivli.pro/remote/dispatcher/state_purchase_view/66997716", "UA-2026-03-23-001040-a")</f>
        <v>UA-2026-03-23-001040-a</v>
      </c>
      <c r="C148" s="1" t="s">
        <v>1424</v>
      </c>
      <c r="D148" s="1" t="s">
        <v>1025</v>
      </c>
      <c r="E148" s="1" t="s">
        <v>1553</v>
      </c>
      <c r="F148" s="1" t="s">
        <v>87</v>
      </c>
      <c r="G148" s="1" t="s">
        <v>1644</v>
      </c>
      <c r="H148" s="1" t="s">
        <v>324</v>
      </c>
      <c r="I148" s="1" t="s">
        <v>215</v>
      </c>
      <c r="J148" s="6">
        <v>315</v>
      </c>
      <c r="K148" s="5">
        <v>46104</v>
      </c>
      <c r="L148" s="7">
        <v>46387</v>
      </c>
    </row>
    <row r="149" spans="1:12" hidden="1" x14ac:dyDescent="0.25">
      <c r="A149" s="4">
        <v>143</v>
      </c>
      <c r="B149" s="2" t="str">
        <f>HYPERLINK("https://my.zakupivli.pro/remote/dispatcher/state_purchase_view/66996406", "UA-2026-03-23-000492-a")</f>
        <v>UA-2026-03-23-000492-a</v>
      </c>
      <c r="C149" s="1" t="s">
        <v>1926</v>
      </c>
      <c r="D149" s="1" t="s">
        <v>1264</v>
      </c>
      <c r="E149" s="1" t="s">
        <v>1553</v>
      </c>
      <c r="F149" s="1" t="s">
        <v>87</v>
      </c>
      <c r="G149" s="1" t="s">
        <v>2099</v>
      </c>
      <c r="H149" s="1" t="s">
        <v>919</v>
      </c>
      <c r="I149" s="1" t="s">
        <v>1758</v>
      </c>
      <c r="J149" s="6">
        <v>270</v>
      </c>
      <c r="K149" s="5">
        <v>46100</v>
      </c>
      <c r="L149" s="7">
        <v>46387</v>
      </c>
    </row>
    <row r="150" spans="1:12" hidden="1" x14ac:dyDescent="0.25">
      <c r="A150" s="4">
        <v>144</v>
      </c>
      <c r="B150" s="2" t="str">
        <f>HYPERLINK("https://my.zakupivli.pro/remote/dispatcher/state_purchase_view/66995797", "UA-2026-03-23-000263-a")</f>
        <v>UA-2026-03-23-000263-a</v>
      </c>
      <c r="C150" s="1" t="s">
        <v>1599</v>
      </c>
      <c r="D150" s="1" t="s">
        <v>1014</v>
      </c>
      <c r="E150" s="1" t="s">
        <v>1553</v>
      </c>
      <c r="F150" s="1" t="s">
        <v>87</v>
      </c>
      <c r="G150" s="1" t="s">
        <v>2066</v>
      </c>
      <c r="H150" s="1" t="s">
        <v>651</v>
      </c>
      <c r="I150" s="1" t="s">
        <v>206</v>
      </c>
      <c r="J150" s="6">
        <v>14661</v>
      </c>
      <c r="K150" s="5">
        <v>46101</v>
      </c>
      <c r="L150" s="7">
        <v>46387</v>
      </c>
    </row>
    <row r="151" spans="1:12" hidden="1" x14ac:dyDescent="0.25">
      <c r="A151" s="4">
        <v>145</v>
      </c>
      <c r="B151" s="2" t="str">
        <f>HYPERLINK("https://my.zakupivli.pro/remote/dispatcher/state_purchase_view/66876106", "UA-2026-03-17-009131-a")</f>
        <v>UA-2026-03-17-009131-a</v>
      </c>
      <c r="C151" s="1" t="s">
        <v>2197</v>
      </c>
      <c r="D151" s="1" t="s">
        <v>1150</v>
      </c>
      <c r="E151" s="1" t="s">
        <v>1553</v>
      </c>
      <c r="F151" s="1" t="s">
        <v>87</v>
      </c>
      <c r="G151" s="1" t="s">
        <v>2234</v>
      </c>
      <c r="H151" s="1" t="s">
        <v>622</v>
      </c>
      <c r="I151" s="1" t="s">
        <v>260</v>
      </c>
      <c r="J151" s="6">
        <v>172458</v>
      </c>
      <c r="K151" s="5">
        <v>46119</v>
      </c>
      <c r="L151" s="7">
        <v>46387</v>
      </c>
    </row>
    <row r="152" spans="1:12" hidden="1" x14ac:dyDescent="0.25">
      <c r="A152" s="4">
        <v>146</v>
      </c>
      <c r="B152" s="2" t="str">
        <f>HYPERLINK("https://my.zakupivli.pro/remote/dispatcher/state_purchase_view/66872227", "UA-2026-03-17-007496-a")</f>
        <v>UA-2026-03-17-007496-a</v>
      </c>
      <c r="C152" s="1" t="s">
        <v>1841</v>
      </c>
      <c r="D152" s="1" t="s">
        <v>1150</v>
      </c>
      <c r="E152" s="1" t="s">
        <v>1553</v>
      </c>
      <c r="F152" s="1" t="s">
        <v>87</v>
      </c>
      <c r="G152" s="1" t="s">
        <v>2258</v>
      </c>
      <c r="H152" s="1" t="s">
        <v>457</v>
      </c>
      <c r="I152" s="1" t="s">
        <v>259</v>
      </c>
      <c r="J152" s="6">
        <v>161750</v>
      </c>
      <c r="K152" s="5">
        <v>46119</v>
      </c>
      <c r="L152" s="7">
        <v>46387</v>
      </c>
    </row>
    <row r="153" spans="1:12" hidden="1" x14ac:dyDescent="0.25">
      <c r="A153" s="4">
        <v>147</v>
      </c>
      <c r="B153" s="2" t="str">
        <f>HYPERLINK("https://my.zakupivli.pro/remote/dispatcher/state_purchase_view/66862594", "UA-2026-03-17-003131-a")</f>
        <v>UA-2026-03-17-003131-a</v>
      </c>
      <c r="C153" s="1" t="s">
        <v>2207</v>
      </c>
      <c r="D153" s="1" t="s">
        <v>708</v>
      </c>
      <c r="E153" s="1" t="s">
        <v>1553</v>
      </c>
      <c r="F153" s="1" t="s">
        <v>87</v>
      </c>
      <c r="G153" s="1" t="s">
        <v>2081</v>
      </c>
      <c r="H153" s="1" t="s">
        <v>828</v>
      </c>
      <c r="I153" s="1" t="s">
        <v>262</v>
      </c>
      <c r="J153" s="6">
        <v>271500</v>
      </c>
      <c r="K153" s="5">
        <v>46120</v>
      </c>
      <c r="L153" s="7">
        <v>46387</v>
      </c>
    </row>
    <row r="154" spans="1:12" hidden="1" x14ac:dyDescent="0.25">
      <c r="A154" s="4">
        <v>148</v>
      </c>
      <c r="B154" s="2" t="str">
        <f>HYPERLINK("https://my.zakupivli.pro/remote/dispatcher/state_purchase_view/66850816", "UA-2026-03-16-012946-a")</f>
        <v>UA-2026-03-16-012946-a</v>
      </c>
      <c r="C154" s="1" t="s">
        <v>1787</v>
      </c>
      <c r="D154" s="1" t="s">
        <v>128</v>
      </c>
      <c r="E154" s="1" t="s">
        <v>1553</v>
      </c>
      <c r="F154" s="1" t="s">
        <v>87</v>
      </c>
      <c r="G154" s="1"/>
      <c r="H154" s="1"/>
      <c r="I154" s="1"/>
      <c r="J154" s="1"/>
      <c r="K154" s="1" t="s">
        <v>53</v>
      </c>
      <c r="L154" s="1"/>
    </row>
    <row r="155" spans="1:12" hidden="1" x14ac:dyDescent="0.25">
      <c r="A155" s="4">
        <v>149</v>
      </c>
      <c r="B155" s="2" t="str">
        <f>HYPERLINK("https://my.zakupivli.pro/remote/dispatcher/state_purchase_view/66838387", "UA-2026-03-16-007341-a")</f>
        <v>UA-2026-03-16-007341-a</v>
      </c>
      <c r="C155" s="1" t="s">
        <v>1447</v>
      </c>
      <c r="D155" s="1" t="s">
        <v>905</v>
      </c>
      <c r="E155" s="1" t="s">
        <v>1553</v>
      </c>
      <c r="F155" s="1" t="s">
        <v>87</v>
      </c>
      <c r="G155" s="1" t="s">
        <v>2121</v>
      </c>
      <c r="H155" s="1" t="s">
        <v>675</v>
      </c>
      <c r="I155" s="1" t="s">
        <v>195</v>
      </c>
      <c r="J155" s="6">
        <v>15535.01</v>
      </c>
      <c r="K155" s="5">
        <v>46097</v>
      </c>
      <c r="L155" s="7">
        <v>46387</v>
      </c>
    </row>
    <row r="156" spans="1:12" hidden="1" x14ac:dyDescent="0.25">
      <c r="A156" s="4">
        <v>150</v>
      </c>
      <c r="B156" s="2" t="str">
        <f>HYPERLINK("https://my.zakupivli.pro/remote/dispatcher/state_purchase_view/66837857", "UA-2026-03-16-007082-a")</f>
        <v>UA-2026-03-16-007082-a</v>
      </c>
      <c r="C156" s="1" t="s">
        <v>2037</v>
      </c>
      <c r="D156" s="1" t="s">
        <v>313</v>
      </c>
      <c r="E156" s="1" t="s">
        <v>1553</v>
      </c>
      <c r="F156" s="1" t="s">
        <v>87</v>
      </c>
      <c r="G156" s="1" t="s">
        <v>2111</v>
      </c>
      <c r="H156" s="1" t="s">
        <v>460</v>
      </c>
      <c r="I156" s="1" t="s">
        <v>193</v>
      </c>
      <c r="J156" s="6">
        <v>7050</v>
      </c>
      <c r="K156" s="5">
        <v>46097</v>
      </c>
      <c r="L156" s="7">
        <v>46387</v>
      </c>
    </row>
    <row r="157" spans="1:12" hidden="1" x14ac:dyDescent="0.25">
      <c r="A157" s="4">
        <v>151</v>
      </c>
      <c r="B157" s="2" t="str">
        <f>HYPERLINK("https://my.zakupivli.pro/remote/dispatcher/state_purchase_view/66836324", "UA-2026-03-16-006397-a")</f>
        <v>UA-2026-03-16-006397-a</v>
      </c>
      <c r="C157" s="1" t="s">
        <v>2053</v>
      </c>
      <c r="D157" s="1" t="s">
        <v>1223</v>
      </c>
      <c r="E157" s="1" t="s">
        <v>1553</v>
      </c>
      <c r="F157" s="1" t="s">
        <v>87</v>
      </c>
      <c r="G157" s="1" t="s">
        <v>1372</v>
      </c>
      <c r="H157" s="1" t="s">
        <v>385</v>
      </c>
      <c r="I157" s="1" t="s">
        <v>62</v>
      </c>
      <c r="J157" s="6">
        <v>1557</v>
      </c>
      <c r="K157" s="5">
        <v>46097</v>
      </c>
      <c r="L157" s="7">
        <v>46387</v>
      </c>
    </row>
    <row r="158" spans="1:12" hidden="1" x14ac:dyDescent="0.25">
      <c r="A158" s="4">
        <v>152</v>
      </c>
      <c r="B158" s="2" t="str">
        <f>HYPERLINK("https://my.zakupivli.pro/remote/dispatcher/state_purchase_view/66835740", "UA-2026-03-16-006119-a")</f>
        <v>UA-2026-03-16-006119-a</v>
      </c>
      <c r="C158" s="1" t="s">
        <v>1398</v>
      </c>
      <c r="D158" s="1" t="s">
        <v>1297</v>
      </c>
      <c r="E158" s="1" t="s">
        <v>1553</v>
      </c>
      <c r="F158" s="1" t="s">
        <v>87</v>
      </c>
      <c r="G158" s="1" t="s">
        <v>2277</v>
      </c>
      <c r="H158" s="1" t="s">
        <v>416</v>
      </c>
      <c r="I158" s="1" t="s">
        <v>190</v>
      </c>
      <c r="J158" s="6">
        <v>66000</v>
      </c>
      <c r="K158" s="5">
        <v>46097</v>
      </c>
      <c r="L158" s="7">
        <v>46387</v>
      </c>
    </row>
    <row r="159" spans="1:12" hidden="1" x14ac:dyDescent="0.25">
      <c r="A159" s="4">
        <v>153</v>
      </c>
      <c r="B159" s="2" t="str">
        <f>HYPERLINK("https://my.zakupivli.pro/remote/dispatcher/state_purchase_view/66834966", "UA-2026-03-16-005811-a")</f>
        <v>UA-2026-03-16-005811-a</v>
      </c>
      <c r="C159" s="1" t="s">
        <v>1937</v>
      </c>
      <c r="D159" s="1" t="s">
        <v>856</v>
      </c>
      <c r="E159" s="1" t="s">
        <v>1553</v>
      </c>
      <c r="F159" s="1" t="s">
        <v>87</v>
      </c>
      <c r="G159" s="1" t="s">
        <v>2111</v>
      </c>
      <c r="H159" s="1" t="s">
        <v>460</v>
      </c>
      <c r="I159" s="1" t="s">
        <v>103</v>
      </c>
      <c r="J159" s="6">
        <v>13000</v>
      </c>
      <c r="K159" s="5">
        <v>46097</v>
      </c>
      <c r="L159" s="7">
        <v>46387</v>
      </c>
    </row>
    <row r="160" spans="1:12" hidden="1" x14ac:dyDescent="0.25">
      <c r="A160" s="4">
        <v>154</v>
      </c>
      <c r="B160" s="2" t="str">
        <f>HYPERLINK("https://my.zakupivli.pro/remote/dispatcher/state_purchase_view/66834268", "UA-2026-03-16-005567-a")</f>
        <v>UA-2026-03-16-005567-a</v>
      </c>
      <c r="C160" s="1" t="s">
        <v>1396</v>
      </c>
      <c r="D160" s="1" t="s">
        <v>703</v>
      </c>
      <c r="E160" s="1" t="s">
        <v>1553</v>
      </c>
      <c r="F160" s="1" t="s">
        <v>87</v>
      </c>
      <c r="G160" s="1" t="s">
        <v>2035</v>
      </c>
      <c r="H160" s="1" t="s">
        <v>692</v>
      </c>
      <c r="I160" s="1" t="s">
        <v>189</v>
      </c>
      <c r="J160" s="6">
        <v>1940</v>
      </c>
      <c r="K160" s="5">
        <v>46097</v>
      </c>
      <c r="L160" s="7">
        <v>46387</v>
      </c>
    </row>
    <row r="161" spans="1:12" hidden="1" x14ac:dyDescent="0.25">
      <c r="A161" s="4">
        <v>155</v>
      </c>
      <c r="B161" s="2" t="str">
        <f>HYPERLINK("https://my.zakupivli.pro/remote/dispatcher/state_purchase_view/66735787", "UA-2026-03-11-006073-a")</f>
        <v>UA-2026-03-11-006073-a</v>
      </c>
      <c r="C161" s="1" t="s">
        <v>1960</v>
      </c>
      <c r="D161" s="1" t="s">
        <v>1077</v>
      </c>
      <c r="E161" s="1" t="s">
        <v>1553</v>
      </c>
      <c r="F161" s="1" t="s">
        <v>87</v>
      </c>
      <c r="G161" s="1" t="s">
        <v>1763</v>
      </c>
      <c r="H161" s="1" t="s">
        <v>107</v>
      </c>
      <c r="I161" s="1" t="s">
        <v>1994</v>
      </c>
      <c r="J161" s="6">
        <v>5622.46</v>
      </c>
      <c r="K161" s="5">
        <v>46091</v>
      </c>
      <c r="L161" s="7">
        <v>46387</v>
      </c>
    </row>
    <row r="162" spans="1:12" hidden="1" x14ac:dyDescent="0.25">
      <c r="A162" s="4">
        <v>156</v>
      </c>
      <c r="B162" s="2" t="str">
        <f>HYPERLINK("https://my.zakupivli.pro/remote/dispatcher/state_purchase_view/66658715", "UA-2026-03-09-001349-a")</f>
        <v>UA-2026-03-09-001349-a</v>
      </c>
      <c r="C162" s="1" t="s">
        <v>31</v>
      </c>
      <c r="D162" s="1" t="s">
        <v>1146</v>
      </c>
      <c r="E162" s="1" t="s">
        <v>1553</v>
      </c>
      <c r="F162" s="1" t="s">
        <v>87</v>
      </c>
      <c r="G162" s="1" t="s">
        <v>1474</v>
      </c>
      <c r="H162" s="1" t="s">
        <v>100</v>
      </c>
      <c r="I162" s="1" t="s">
        <v>359</v>
      </c>
      <c r="J162" s="6">
        <v>7972.8</v>
      </c>
      <c r="K162" s="5">
        <v>46090</v>
      </c>
      <c r="L162" s="7">
        <v>46387</v>
      </c>
    </row>
    <row r="163" spans="1:12" hidden="1" x14ac:dyDescent="0.25">
      <c r="A163" s="4">
        <v>157</v>
      </c>
      <c r="B163" s="2" t="str">
        <f>HYPERLINK("https://my.zakupivli.pro/remote/dispatcher/state_purchase_view/66655968", "UA-2026-03-09-000170-a")</f>
        <v>UA-2026-03-09-000170-a</v>
      </c>
      <c r="C163" s="1" t="s">
        <v>1440</v>
      </c>
      <c r="D163" s="1" t="s">
        <v>909</v>
      </c>
      <c r="E163" s="1" t="s">
        <v>1553</v>
      </c>
      <c r="F163" s="1" t="s">
        <v>87</v>
      </c>
      <c r="G163" s="1" t="s">
        <v>2018</v>
      </c>
      <c r="H163" s="1" t="s">
        <v>611</v>
      </c>
      <c r="I163" s="1" t="s">
        <v>178</v>
      </c>
      <c r="J163" s="6">
        <v>5358</v>
      </c>
      <c r="K163" s="5">
        <v>46087</v>
      </c>
      <c r="L163" s="7">
        <v>46387</v>
      </c>
    </row>
    <row r="164" spans="1:12" hidden="1" x14ac:dyDescent="0.25">
      <c r="A164" s="4">
        <v>158</v>
      </c>
      <c r="B164" s="2" t="str">
        <f>HYPERLINK("https://my.zakupivli.pro/remote/dispatcher/state_purchase_view/66646609", "UA-2026-03-06-008217-a")</f>
        <v>UA-2026-03-06-008217-a</v>
      </c>
      <c r="C164" s="1" t="s">
        <v>1845</v>
      </c>
      <c r="D164" s="1" t="s">
        <v>1303</v>
      </c>
      <c r="E164" s="1" t="s">
        <v>1553</v>
      </c>
      <c r="F164" s="1" t="s">
        <v>87</v>
      </c>
      <c r="G164" s="1" t="s">
        <v>1687</v>
      </c>
      <c r="H164" s="1" t="s">
        <v>521</v>
      </c>
      <c r="I164" s="1" t="s">
        <v>171</v>
      </c>
      <c r="J164" s="6">
        <v>2316</v>
      </c>
      <c r="K164" s="5">
        <v>46087</v>
      </c>
      <c r="L164" s="7">
        <v>46387</v>
      </c>
    </row>
    <row r="165" spans="1:12" hidden="1" x14ac:dyDescent="0.25">
      <c r="A165" s="4">
        <v>159</v>
      </c>
      <c r="B165" s="2" t="str">
        <f>HYPERLINK("https://my.zakupivli.pro/remote/dispatcher/state_purchase_view/66620171", "UA-2026-03-05-011785-a")</f>
        <v>UA-2026-03-05-011785-a</v>
      </c>
      <c r="C165" s="1" t="s">
        <v>1460</v>
      </c>
      <c r="D165" s="1" t="s">
        <v>635</v>
      </c>
      <c r="E165" s="1" t="s">
        <v>1553</v>
      </c>
      <c r="F165" s="1" t="s">
        <v>87</v>
      </c>
      <c r="G165" s="1" t="s">
        <v>1551</v>
      </c>
      <c r="H165" s="1" t="s">
        <v>536</v>
      </c>
      <c r="I165" s="1" t="s">
        <v>168</v>
      </c>
      <c r="J165" s="6">
        <v>14750</v>
      </c>
      <c r="K165" s="5">
        <v>46085</v>
      </c>
      <c r="L165" s="7">
        <v>46387</v>
      </c>
    </row>
    <row r="166" spans="1:12" hidden="1" x14ac:dyDescent="0.25">
      <c r="A166" s="4">
        <v>160</v>
      </c>
      <c r="B166" s="2" t="str">
        <f>HYPERLINK("https://my.zakupivli.pro/remote/dispatcher/state_purchase_view/66619860", "UA-2026-03-05-011597-a")</f>
        <v>UA-2026-03-05-011597-a</v>
      </c>
      <c r="C166" s="1" t="s">
        <v>1660</v>
      </c>
      <c r="D166" s="1" t="s">
        <v>885</v>
      </c>
      <c r="E166" s="1" t="s">
        <v>1553</v>
      </c>
      <c r="F166" s="1" t="s">
        <v>87</v>
      </c>
      <c r="G166" s="1" t="s">
        <v>1623</v>
      </c>
      <c r="H166" s="1" t="s">
        <v>579</v>
      </c>
      <c r="I166" s="1" t="s">
        <v>161</v>
      </c>
      <c r="J166" s="6">
        <v>8430</v>
      </c>
      <c r="K166" s="5">
        <v>46085</v>
      </c>
      <c r="L166" s="7">
        <v>46387</v>
      </c>
    </row>
    <row r="167" spans="1:12" hidden="1" x14ac:dyDescent="0.25">
      <c r="A167" s="4">
        <v>161</v>
      </c>
      <c r="B167" s="2" t="str">
        <f>HYPERLINK("https://my.zakupivli.pro/remote/dispatcher/state_purchase_view/66619415", "UA-2026-03-05-011460-a")</f>
        <v>UA-2026-03-05-011460-a</v>
      </c>
      <c r="C167" s="1" t="s">
        <v>1580</v>
      </c>
      <c r="D167" s="1" t="s">
        <v>913</v>
      </c>
      <c r="E167" s="1" t="s">
        <v>1553</v>
      </c>
      <c r="F167" s="1" t="s">
        <v>87</v>
      </c>
      <c r="G167" s="1" t="s">
        <v>1623</v>
      </c>
      <c r="H167" s="1" t="s">
        <v>579</v>
      </c>
      <c r="I167" s="1" t="s">
        <v>162</v>
      </c>
      <c r="J167" s="6">
        <v>20000</v>
      </c>
      <c r="K167" s="5">
        <v>46085</v>
      </c>
      <c r="L167" s="7">
        <v>46387</v>
      </c>
    </row>
    <row r="168" spans="1:12" hidden="1" x14ac:dyDescent="0.25">
      <c r="A168" s="4">
        <v>162</v>
      </c>
      <c r="B168" s="2" t="str">
        <f>HYPERLINK("https://my.zakupivli.pro/remote/dispatcher/state_purchase_view/66619089", "UA-2026-03-05-011279-a")</f>
        <v>UA-2026-03-05-011279-a</v>
      </c>
      <c r="C168" s="1" t="s">
        <v>1388</v>
      </c>
      <c r="D168" s="1" t="s">
        <v>639</v>
      </c>
      <c r="E168" s="1" t="s">
        <v>1553</v>
      </c>
      <c r="F168" s="1" t="s">
        <v>87</v>
      </c>
      <c r="G168" s="1" t="s">
        <v>2121</v>
      </c>
      <c r="H168" s="1" t="s">
        <v>675</v>
      </c>
      <c r="I168" s="1" t="s">
        <v>169</v>
      </c>
      <c r="J168" s="6">
        <v>4500</v>
      </c>
      <c r="K168" s="5">
        <v>46085</v>
      </c>
      <c r="L168" s="7">
        <v>46387</v>
      </c>
    </row>
    <row r="169" spans="1:12" hidden="1" x14ac:dyDescent="0.25">
      <c r="A169" s="4">
        <v>163</v>
      </c>
      <c r="B169" s="2" t="str">
        <f>HYPERLINK("https://my.zakupivli.pro/remote/dispatcher/state_purchase_view/66591113", "UA-2026-03-04-014540-a")</f>
        <v>UA-2026-03-04-014540-a</v>
      </c>
      <c r="C169" s="1" t="s">
        <v>1706</v>
      </c>
      <c r="D169" s="1" t="s">
        <v>438</v>
      </c>
      <c r="E169" s="1" t="s">
        <v>1553</v>
      </c>
      <c r="F169" s="1" t="s">
        <v>87</v>
      </c>
      <c r="G169" s="1" t="s">
        <v>2233</v>
      </c>
      <c r="H169" s="1" t="s">
        <v>568</v>
      </c>
      <c r="I169" s="1" t="s">
        <v>221</v>
      </c>
      <c r="J169" s="6">
        <v>96930</v>
      </c>
      <c r="K169" s="5">
        <v>46104</v>
      </c>
      <c r="L169" s="7">
        <v>46169</v>
      </c>
    </row>
    <row r="170" spans="1:12" hidden="1" x14ac:dyDescent="0.25">
      <c r="A170" s="4">
        <v>164</v>
      </c>
      <c r="B170" s="2" t="str">
        <f>HYPERLINK("https://my.zakupivli.pro/remote/dispatcher/state_purchase_view/66536597", "UA-2026-03-03-005650-a")</f>
        <v>UA-2026-03-03-005650-a</v>
      </c>
      <c r="C170" s="1" t="s">
        <v>2199</v>
      </c>
      <c r="D170" s="1" t="s">
        <v>1249</v>
      </c>
      <c r="E170" s="1" t="s">
        <v>1553</v>
      </c>
      <c r="F170" s="1" t="s">
        <v>87</v>
      </c>
      <c r="G170" s="1" t="s">
        <v>2177</v>
      </c>
      <c r="H170" s="1" t="s">
        <v>400</v>
      </c>
      <c r="I170" s="1" t="s">
        <v>1333</v>
      </c>
      <c r="J170" s="6">
        <v>5366.99</v>
      </c>
      <c r="K170" s="5">
        <v>46084</v>
      </c>
      <c r="L170" s="7">
        <v>46387</v>
      </c>
    </row>
    <row r="171" spans="1:12" hidden="1" x14ac:dyDescent="0.25">
      <c r="A171" s="4">
        <v>165</v>
      </c>
      <c r="B171" s="2" t="str">
        <f>HYPERLINK("https://my.zakupivli.pro/remote/dispatcher/state_purchase_view/66535793", "UA-2026-03-03-005266-a")</f>
        <v>UA-2026-03-03-005266-a</v>
      </c>
      <c r="C171" s="1" t="s">
        <v>2034</v>
      </c>
      <c r="D171" s="1" t="s">
        <v>744</v>
      </c>
      <c r="E171" s="1" t="s">
        <v>1553</v>
      </c>
      <c r="F171" s="1" t="s">
        <v>87</v>
      </c>
      <c r="G171" s="1" t="s">
        <v>2265</v>
      </c>
      <c r="H171" s="1" t="s">
        <v>636</v>
      </c>
      <c r="I171" s="1" t="s">
        <v>1347</v>
      </c>
      <c r="J171" s="6">
        <v>33478</v>
      </c>
      <c r="K171" s="5">
        <v>46083</v>
      </c>
      <c r="L171" s="7">
        <v>46387</v>
      </c>
    </row>
    <row r="172" spans="1:12" hidden="1" x14ac:dyDescent="0.25">
      <c r="A172" s="4">
        <v>166</v>
      </c>
      <c r="B172" s="2" t="str">
        <f>HYPERLINK("https://my.zakupivli.pro/remote/dispatcher/state_purchase_view/66531088", "UA-2026-03-03-003165-a")</f>
        <v>UA-2026-03-03-003165-a</v>
      </c>
      <c r="C172" s="1" t="s">
        <v>1784</v>
      </c>
      <c r="D172" s="1" t="s">
        <v>596</v>
      </c>
      <c r="E172" s="1" t="s">
        <v>1553</v>
      </c>
      <c r="F172" s="1" t="s">
        <v>87</v>
      </c>
      <c r="G172" s="1" t="s">
        <v>2094</v>
      </c>
      <c r="H172" s="1" t="s">
        <v>485</v>
      </c>
      <c r="I172" s="1" t="s">
        <v>188</v>
      </c>
      <c r="J172" s="6">
        <v>2458.8000000000002</v>
      </c>
      <c r="K172" s="5">
        <v>46092</v>
      </c>
      <c r="L172" s="7">
        <v>46104</v>
      </c>
    </row>
    <row r="173" spans="1:12" hidden="1" x14ac:dyDescent="0.25">
      <c r="A173" s="4">
        <v>167</v>
      </c>
      <c r="B173" s="2" t="str">
        <f>HYPERLINK("https://my.zakupivli.pro/remote/dispatcher/state_purchase_view/66518792", "UA-2026-03-02-011950-a")</f>
        <v>UA-2026-03-02-011950-a</v>
      </c>
      <c r="C173" s="1" t="s">
        <v>2024</v>
      </c>
      <c r="D173" s="1" t="s">
        <v>1258</v>
      </c>
      <c r="E173" s="1" t="s">
        <v>1553</v>
      </c>
      <c r="F173" s="1" t="s">
        <v>87</v>
      </c>
      <c r="G173" s="1" t="s">
        <v>2226</v>
      </c>
      <c r="H173" s="1" t="s">
        <v>538</v>
      </c>
      <c r="I173" s="1" t="s">
        <v>212</v>
      </c>
      <c r="J173" s="6">
        <v>981100</v>
      </c>
      <c r="K173" s="5">
        <v>46104</v>
      </c>
      <c r="L173" s="7">
        <v>46387</v>
      </c>
    </row>
    <row r="174" spans="1:12" hidden="1" x14ac:dyDescent="0.25">
      <c r="A174" s="4">
        <v>168</v>
      </c>
      <c r="B174" s="2" t="str">
        <f>HYPERLINK("https://my.zakupivli.pro/remote/dispatcher/state_purchase_view/66479701", "UA-2026-02-27-008264-a")</f>
        <v>UA-2026-02-27-008264-a</v>
      </c>
      <c r="C174" s="1" t="s">
        <v>1487</v>
      </c>
      <c r="D174" s="1" t="s">
        <v>788</v>
      </c>
      <c r="E174" s="1" t="s">
        <v>1553</v>
      </c>
      <c r="F174" s="1" t="s">
        <v>87</v>
      </c>
      <c r="G174" s="1" t="s">
        <v>1551</v>
      </c>
      <c r="H174" s="1" t="s">
        <v>536</v>
      </c>
      <c r="I174" s="1" t="s">
        <v>1310</v>
      </c>
      <c r="J174" s="6">
        <v>1865</v>
      </c>
      <c r="K174" s="5">
        <v>46079</v>
      </c>
      <c r="L174" s="7">
        <v>46387</v>
      </c>
    </row>
    <row r="175" spans="1:12" hidden="1" x14ac:dyDescent="0.25">
      <c r="A175" s="4">
        <v>169</v>
      </c>
      <c r="B175" s="2" t="str">
        <f>HYPERLINK("https://my.zakupivli.pro/remote/dispatcher/state_purchase_view/66479209", "UA-2026-02-27-008036-a")</f>
        <v>UA-2026-02-27-008036-a</v>
      </c>
      <c r="C175" s="1" t="s">
        <v>1729</v>
      </c>
      <c r="D175" s="1" t="s">
        <v>482</v>
      </c>
      <c r="E175" s="1" t="s">
        <v>1553</v>
      </c>
      <c r="F175" s="1" t="s">
        <v>87</v>
      </c>
      <c r="G175" s="1" t="s">
        <v>2265</v>
      </c>
      <c r="H175" s="1" t="s">
        <v>636</v>
      </c>
      <c r="I175" s="1" t="s">
        <v>1344</v>
      </c>
      <c r="J175" s="6">
        <v>16435</v>
      </c>
      <c r="K175" s="5">
        <v>46080</v>
      </c>
      <c r="L175" s="7">
        <v>46387</v>
      </c>
    </row>
    <row r="176" spans="1:12" hidden="1" x14ac:dyDescent="0.25">
      <c r="A176" s="4">
        <v>170</v>
      </c>
      <c r="B176" s="2" t="str">
        <f>HYPERLINK("https://my.zakupivli.pro/remote/dispatcher/state_purchase_view/66477847", "UA-2026-02-27-007449-a")</f>
        <v>UA-2026-02-27-007449-a</v>
      </c>
      <c r="C176" s="1" t="s">
        <v>1604</v>
      </c>
      <c r="D176" s="1" t="s">
        <v>770</v>
      </c>
      <c r="E176" s="1" t="s">
        <v>1553</v>
      </c>
      <c r="F176" s="1" t="s">
        <v>87</v>
      </c>
      <c r="G176" s="1" t="s">
        <v>1623</v>
      </c>
      <c r="H176" s="1" t="s">
        <v>579</v>
      </c>
      <c r="I176" s="1" t="s">
        <v>1343</v>
      </c>
      <c r="J176" s="6">
        <v>90000</v>
      </c>
      <c r="K176" s="5">
        <v>46080</v>
      </c>
      <c r="L176" s="7">
        <v>46387</v>
      </c>
    </row>
    <row r="177" spans="1:12" hidden="1" x14ac:dyDescent="0.25">
      <c r="A177" s="4">
        <v>171</v>
      </c>
      <c r="B177" s="2" t="str">
        <f>HYPERLINK("https://my.zakupivli.pro/remote/dispatcher/state_purchase_view/66477129", "UA-2026-02-27-007105-a")</f>
        <v>UA-2026-02-27-007105-a</v>
      </c>
      <c r="C177" s="1" t="s">
        <v>1436</v>
      </c>
      <c r="D177" s="1" t="s">
        <v>1045</v>
      </c>
      <c r="E177" s="1" t="s">
        <v>1553</v>
      </c>
      <c r="F177" s="1" t="s">
        <v>87</v>
      </c>
      <c r="G177" s="1" t="s">
        <v>1623</v>
      </c>
      <c r="H177" s="1" t="s">
        <v>579</v>
      </c>
      <c r="I177" s="1" t="s">
        <v>1340</v>
      </c>
      <c r="J177" s="6">
        <v>59500</v>
      </c>
      <c r="K177" s="5">
        <v>46079</v>
      </c>
      <c r="L177" s="7">
        <v>46387</v>
      </c>
    </row>
    <row r="178" spans="1:12" hidden="1" x14ac:dyDescent="0.25">
      <c r="A178" s="4">
        <v>172</v>
      </c>
      <c r="B178" s="2" t="str">
        <f>HYPERLINK("https://my.zakupivli.pro/remote/dispatcher/state_purchase_view/66476757", "UA-2026-02-27-006938-a")</f>
        <v>UA-2026-02-27-006938-a</v>
      </c>
      <c r="C178" s="1" t="s">
        <v>8</v>
      </c>
      <c r="D178" s="1" t="s">
        <v>768</v>
      </c>
      <c r="E178" s="1" t="s">
        <v>1553</v>
      </c>
      <c r="F178" s="1" t="s">
        <v>87</v>
      </c>
      <c r="G178" s="1" t="s">
        <v>1623</v>
      </c>
      <c r="H178" s="1" t="s">
        <v>579</v>
      </c>
      <c r="I178" s="1" t="s">
        <v>1339</v>
      </c>
      <c r="J178" s="6">
        <v>60000</v>
      </c>
      <c r="K178" s="5">
        <v>46079</v>
      </c>
      <c r="L178" s="7">
        <v>46387</v>
      </c>
    </row>
    <row r="179" spans="1:12" hidden="1" x14ac:dyDescent="0.25">
      <c r="A179" s="4">
        <v>173</v>
      </c>
      <c r="B179" s="2" t="str">
        <f>HYPERLINK("https://my.zakupivli.pro/remote/dispatcher/state_purchase_view/66476582", "UA-2026-02-27-006828-a")</f>
        <v>UA-2026-02-27-006828-a</v>
      </c>
      <c r="C179" s="1" t="s">
        <v>1424</v>
      </c>
      <c r="D179" s="1" t="s">
        <v>1025</v>
      </c>
      <c r="E179" s="1" t="s">
        <v>1553</v>
      </c>
      <c r="F179" s="1" t="s">
        <v>87</v>
      </c>
      <c r="G179" s="1" t="s">
        <v>1623</v>
      </c>
      <c r="H179" s="1" t="s">
        <v>579</v>
      </c>
      <c r="I179" s="1" t="s">
        <v>1337</v>
      </c>
      <c r="J179" s="6">
        <v>60000</v>
      </c>
      <c r="K179" s="5">
        <v>46079</v>
      </c>
      <c r="L179" s="7">
        <v>46387</v>
      </c>
    </row>
    <row r="180" spans="1:12" hidden="1" x14ac:dyDescent="0.25">
      <c r="A180" s="4">
        <v>174</v>
      </c>
      <c r="B180" s="2" t="str">
        <f>HYPERLINK("https://my.zakupivli.pro/remote/dispatcher/state_purchase_view/66476246", "UA-2026-02-27-006711-a")</f>
        <v>UA-2026-02-27-006711-a</v>
      </c>
      <c r="C180" s="1" t="s">
        <v>1710</v>
      </c>
      <c r="D180" s="1" t="s">
        <v>895</v>
      </c>
      <c r="E180" s="1" t="s">
        <v>1553</v>
      </c>
      <c r="F180" s="1" t="s">
        <v>87</v>
      </c>
      <c r="G180" s="1" t="s">
        <v>1623</v>
      </c>
      <c r="H180" s="1" t="s">
        <v>579</v>
      </c>
      <c r="I180" s="1" t="s">
        <v>1334</v>
      </c>
      <c r="J180" s="6">
        <v>335</v>
      </c>
      <c r="K180" s="5">
        <v>46079</v>
      </c>
      <c r="L180" s="7">
        <v>46387</v>
      </c>
    </row>
    <row r="181" spans="1:12" hidden="1" x14ac:dyDescent="0.25">
      <c r="A181" s="4">
        <v>175</v>
      </c>
      <c r="B181" s="2" t="str">
        <f>HYPERLINK("https://my.zakupivli.pro/remote/dispatcher/state_purchase_view/66475750", "UA-2026-02-27-006454-a")</f>
        <v>UA-2026-02-27-006454-a</v>
      </c>
      <c r="C181" s="1" t="s">
        <v>2199</v>
      </c>
      <c r="D181" s="1" t="s">
        <v>1249</v>
      </c>
      <c r="E181" s="1" t="s">
        <v>1553</v>
      </c>
      <c r="F181" s="1" t="s">
        <v>87</v>
      </c>
      <c r="G181" s="1" t="s">
        <v>2177</v>
      </c>
      <c r="H181" s="1" t="s">
        <v>400</v>
      </c>
      <c r="I181" s="1" t="s">
        <v>159</v>
      </c>
      <c r="J181" s="6">
        <v>5366.99</v>
      </c>
      <c r="K181" s="5">
        <v>46080</v>
      </c>
      <c r="L181" s="7">
        <v>46387</v>
      </c>
    </row>
    <row r="182" spans="1:12" hidden="1" x14ac:dyDescent="0.25">
      <c r="A182" s="4">
        <v>176</v>
      </c>
      <c r="B182" s="2" t="str">
        <f>HYPERLINK("https://my.zakupivli.pro/remote/dispatcher/state_purchase_view/66474843", "UA-2026-02-27-006011-a")</f>
        <v>UA-2026-02-27-006011-a</v>
      </c>
      <c r="C182" s="1" t="s">
        <v>1712</v>
      </c>
      <c r="D182" s="1" t="s">
        <v>1248</v>
      </c>
      <c r="E182" s="1" t="s">
        <v>1553</v>
      </c>
      <c r="F182" s="1" t="s">
        <v>87</v>
      </c>
      <c r="G182" s="1" t="s">
        <v>2177</v>
      </c>
      <c r="H182" s="1" t="s">
        <v>400</v>
      </c>
      <c r="I182" s="1" t="s">
        <v>1323</v>
      </c>
      <c r="J182" s="6">
        <v>2103.38</v>
      </c>
      <c r="K182" s="5">
        <v>46080</v>
      </c>
      <c r="L182" s="7">
        <v>46387</v>
      </c>
    </row>
    <row r="183" spans="1:12" hidden="1" x14ac:dyDescent="0.25">
      <c r="A183" s="4">
        <v>177</v>
      </c>
      <c r="B183" s="2" t="str">
        <f>HYPERLINK("https://my.zakupivli.pro/remote/dispatcher/state_purchase_view/66471945", "UA-2026-02-27-004732-a")</f>
        <v>UA-2026-02-27-004732-a</v>
      </c>
      <c r="C183" s="1" t="s">
        <v>1952</v>
      </c>
      <c r="D183" s="1" t="s">
        <v>266</v>
      </c>
      <c r="E183" s="1" t="s">
        <v>1553</v>
      </c>
      <c r="F183" s="1" t="s">
        <v>87</v>
      </c>
      <c r="G183" s="1" t="s">
        <v>2108</v>
      </c>
      <c r="H183" s="1" t="s">
        <v>846</v>
      </c>
      <c r="I183" s="1" t="s">
        <v>1738</v>
      </c>
      <c r="J183" s="6">
        <v>26493.599999999999</v>
      </c>
      <c r="K183" s="5">
        <v>46078</v>
      </c>
      <c r="L183" s="7">
        <v>46387</v>
      </c>
    </row>
    <row r="184" spans="1:12" hidden="1" x14ac:dyDescent="0.25">
      <c r="A184" s="4">
        <v>178</v>
      </c>
      <c r="B184" s="2" t="str">
        <f>HYPERLINK("https://my.zakupivli.pro/remote/dispatcher/state_purchase_view/66446609", "UA-2026-02-26-007088-a")</f>
        <v>UA-2026-02-26-007088-a</v>
      </c>
      <c r="C184" s="1" t="s">
        <v>2251</v>
      </c>
      <c r="D184" s="1" t="s">
        <v>728</v>
      </c>
      <c r="E184" s="1" t="s">
        <v>1553</v>
      </c>
      <c r="F184" s="1" t="s">
        <v>87</v>
      </c>
      <c r="G184" s="1" t="s">
        <v>1935</v>
      </c>
      <c r="H184" s="1" t="s">
        <v>637</v>
      </c>
      <c r="I184" s="1" t="s">
        <v>196</v>
      </c>
      <c r="J184" s="6">
        <v>78474</v>
      </c>
      <c r="K184" s="5">
        <v>46098</v>
      </c>
      <c r="L184" s="7">
        <v>46387</v>
      </c>
    </row>
    <row r="185" spans="1:12" hidden="1" x14ac:dyDescent="0.25">
      <c r="A185" s="4">
        <v>179</v>
      </c>
      <c r="B185" s="2" t="str">
        <f>HYPERLINK("https://my.zakupivli.pro/remote/dispatcher/state_purchase_view/66426719", "UA-2026-02-25-012557-a")</f>
        <v>UA-2026-02-25-012557-a</v>
      </c>
      <c r="C185" s="1" t="s">
        <v>1601</v>
      </c>
      <c r="D185" s="1" t="s">
        <v>1245</v>
      </c>
      <c r="E185" s="1" t="s">
        <v>1553</v>
      </c>
      <c r="F185" s="1" t="s">
        <v>87</v>
      </c>
      <c r="G185" s="1" t="s">
        <v>2125</v>
      </c>
      <c r="H185" s="1" t="s">
        <v>937</v>
      </c>
      <c r="I185" s="1" t="s">
        <v>210</v>
      </c>
      <c r="J185" s="6">
        <v>3528</v>
      </c>
      <c r="K185" s="5">
        <v>46078</v>
      </c>
      <c r="L185" s="7">
        <v>46387</v>
      </c>
    </row>
    <row r="186" spans="1:12" hidden="1" x14ac:dyDescent="0.25">
      <c r="A186" s="4">
        <v>180</v>
      </c>
      <c r="B186" s="2" t="str">
        <f>HYPERLINK("https://my.zakupivli.pro/remote/dispatcher/state_purchase_view/66414721", "UA-2026-02-25-007160-a")</f>
        <v>UA-2026-02-25-007160-a</v>
      </c>
      <c r="C186" s="1" t="s">
        <v>2192</v>
      </c>
      <c r="D186" s="1" t="s">
        <v>1154</v>
      </c>
      <c r="E186" s="1" t="s">
        <v>1553</v>
      </c>
      <c r="F186" s="1" t="s">
        <v>87</v>
      </c>
      <c r="G186" s="1" t="s">
        <v>1492</v>
      </c>
      <c r="H186" s="1" t="s">
        <v>794</v>
      </c>
      <c r="I186" s="1" t="s">
        <v>1104</v>
      </c>
      <c r="J186" s="6">
        <v>141000</v>
      </c>
      <c r="K186" s="5">
        <v>46099</v>
      </c>
      <c r="L186" s="7">
        <v>46387</v>
      </c>
    </row>
    <row r="187" spans="1:12" hidden="1" x14ac:dyDescent="0.25">
      <c r="A187" s="4">
        <v>181</v>
      </c>
      <c r="B187" s="2" t="str">
        <f>HYPERLINK("https://my.zakupivli.pro/remote/dispatcher/state_purchase_view/66408064", "UA-2026-02-25-004272-a")</f>
        <v>UA-2026-02-25-004272-a</v>
      </c>
      <c r="C187" s="1" t="s">
        <v>2196</v>
      </c>
      <c r="D187" s="1" t="s">
        <v>1253</v>
      </c>
      <c r="E187" s="1" t="s">
        <v>1553</v>
      </c>
      <c r="F187" s="1" t="s">
        <v>87</v>
      </c>
      <c r="G187" s="1" t="s">
        <v>1492</v>
      </c>
      <c r="H187" s="1" t="s">
        <v>794</v>
      </c>
      <c r="I187" s="1" t="s">
        <v>1134</v>
      </c>
      <c r="J187" s="6">
        <v>321000</v>
      </c>
      <c r="K187" s="5">
        <v>46099</v>
      </c>
      <c r="L187" s="7">
        <v>46387</v>
      </c>
    </row>
    <row r="188" spans="1:12" hidden="1" x14ac:dyDescent="0.25">
      <c r="A188" s="4">
        <v>182</v>
      </c>
      <c r="B188" s="2" t="str">
        <f>HYPERLINK("https://my.zakupivli.pro/remote/dispatcher/state_purchase_view/66406123", "UA-2026-02-25-003392-a")</f>
        <v>UA-2026-02-25-003392-a</v>
      </c>
      <c r="C188" s="1" t="s">
        <v>1843</v>
      </c>
      <c r="D188" s="1" t="s">
        <v>1152</v>
      </c>
      <c r="E188" s="1" t="s">
        <v>1553</v>
      </c>
      <c r="F188" s="1" t="s">
        <v>87</v>
      </c>
      <c r="G188" s="1" t="s">
        <v>1492</v>
      </c>
      <c r="H188" s="1" t="s">
        <v>794</v>
      </c>
      <c r="I188" s="1" t="s">
        <v>1120</v>
      </c>
      <c r="J188" s="6">
        <v>300500</v>
      </c>
      <c r="K188" s="5">
        <v>46099</v>
      </c>
      <c r="L188" s="7">
        <v>46387</v>
      </c>
    </row>
    <row r="189" spans="1:12" hidden="1" x14ac:dyDescent="0.25">
      <c r="A189" s="4">
        <v>183</v>
      </c>
      <c r="B189" s="2" t="str">
        <f>HYPERLINK("https://my.zakupivli.pro/remote/dispatcher/state_purchase_view/66393070", "UA-2026-02-24-013578-a")</f>
        <v>UA-2026-02-24-013578-a</v>
      </c>
      <c r="C189" s="1" t="s">
        <v>1364</v>
      </c>
      <c r="D189" s="1" t="s">
        <v>899</v>
      </c>
      <c r="E189" s="1" t="s">
        <v>1553</v>
      </c>
      <c r="F189" s="1" t="s">
        <v>87</v>
      </c>
      <c r="G189" s="1" t="s">
        <v>2018</v>
      </c>
      <c r="H189" s="1" t="s">
        <v>611</v>
      </c>
      <c r="I189" s="1" t="s">
        <v>1308</v>
      </c>
      <c r="J189" s="6">
        <v>22431</v>
      </c>
      <c r="K189" s="5">
        <v>46076</v>
      </c>
      <c r="L189" s="7">
        <v>46387</v>
      </c>
    </row>
    <row r="190" spans="1:12" hidden="1" x14ac:dyDescent="0.25">
      <c r="A190" s="4">
        <v>184</v>
      </c>
      <c r="B190" s="2" t="str">
        <f>HYPERLINK("https://my.zakupivli.pro/remote/dispatcher/state_purchase_view/66392985", "UA-2026-02-24-013519-a")</f>
        <v>UA-2026-02-24-013519-a</v>
      </c>
      <c r="C190" s="1" t="s">
        <v>2193</v>
      </c>
      <c r="D190" s="1" t="s">
        <v>1161</v>
      </c>
      <c r="E190" s="1" t="s">
        <v>1553</v>
      </c>
      <c r="F190" s="1" t="s">
        <v>87</v>
      </c>
      <c r="G190" s="1" t="s">
        <v>2095</v>
      </c>
      <c r="H190" s="1" t="s">
        <v>400</v>
      </c>
      <c r="I190" s="1" t="s">
        <v>1121</v>
      </c>
      <c r="J190" s="6">
        <v>160036.79999999999</v>
      </c>
      <c r="K190" s="5">
        <v>46098</v>
      </c>
      <c r="L190" s="7">
        <v>46387</v>
      </c>
    </row>
    <row r="191" spans="1:12" hidden="1" x14ac:dyDescent="0.25">
      <c r="A191" s="4">
        <v>185</v>
      </c>
      <c r="B191" s="2" t="str">
        <f>HYPERLINK("https://my.zakupivli.pro/remote/dispatcher/state_purchase_view/66392312", "UA-2026-02-24-013189-a")</f>
        <v>UA-2026-02-24-013189-a</v>
      </c>
      <c r="C191" s="1" t="s">
        <v>2256</v>
      </c>
      <c r="D191" s="1" t="s">
        <v>897</v>
      </c>
      <c r="E191" s="1" t="s">
        <v>1553</v>
      </c>
      <c r="F191" s="1" t="s">
        <v>87</v>
      </c>
      <c r="G191" s="1" t="s">
        <v>2121</v>
      </c>
      <c r="H191" s="1" t="s">
        <v>675</v>
      </c>
      <c r="I191" s="1" t="s">
        <v>1320</v>
      </c>
      <c r="J191" s="6">
        <v>9363.9500000000007</v>
      </c>
      <c r="K191" s="5">
        <v>46077</v>
      </c>
      <c r="L191" s="7">
        <v>46387</v>
      </c>
    </row>
    <row r="192" spans="1:12" hidden="1" x14ac:dyDescent="0.25">
      <c r="A192" s="4">
        <v>186</v>
      </c>
      <c r="B192" s="2" t="str">
        <f>HYPERLINK("https://my.zakupivli.pro/remote/dispatcher/state_purchase_view/66387660", "UA-2026-02-24-011024-a")</f>
        <v>UA-2026-02-24-011024-a</v>
      </c>
      <c r="C192" s="1" t="s">
        <v>1523</v>
      </c>
      <c r="D192" s="1" t="s">
        <v>1199</v>
      </c>
      <c r="E192" s="1" t="s">
        <v>1553</v>
      </c>
      <c r="F192" s="1" t="s">
        <v>87</v>
      </c>
      <c r="G192" s="1" t="s">
        <v>1375</v>
      </c>
      <c r="H192" s="1" t="s">
        <v>410</v>
      </c>
      <c r="I192" s="1" t="s">
        <v>197</v>
      </c>
      <c r="J192" s="6">
        <v>404900</v>
      </c>
      <c r="K192" s="5">
        <v>46098</v>
      </c>
      <c r="L192" s="7">
        <v>46387</v>
      </c>
    </row>
    <row r="193" spans="1:12" hidden="1" x14ac:dyDescent="0.25">
      <c r="A193" s="4">
        <v>187</v>
      </c>
      <c r="B193" s="2" t="str">
        <f>HYPERLINK("https://my.zakupivli.pro/remote/dispatcher/state_purchase_view/66366242", "UA-2026-02-24-001417-a")</f>
        <v>UA-2026-02-24-001417-a</v>
      </c>
      <c r="C193" s="1" t="s">
        <v>2056</v>
      </c>
      <c r="D193" s="1" t="s">
        <v>711</v>
      </c>
      <c r="E193" s="1" t="s">
        <v>1553</v>
      </c>
      <c r="F193" s="1" t="s">
        <v>87</v>
      </c>
      <c r="G193" s="1" t="s">
        <v>2241</v>
      </c>
      <c r="H193" s="1" t="s">
        <v>300</v>
      </c>
      <c r="I193" s="1" t="s">
        <v>182</v>
      </c>
      <c r="J193" s="6">
        <v>818360</v>
      </c>
      <c r="K193" s="5">
        <v>46087</v>
      </c>
      <c r="L193" s="7">
        <v>46387</v>
      </c>
    </row>
    <row r="194" spans="1:12" hidden="1" x14ac:dyDescent="0.25">
      <c r="A194" s="4">
        <v>188</v>
      </c>
      <c r="B194" s="2" t="str">
        <f>HYPERLINK("https://my.zakupivli.pro/remote/dispatcher/state_purchase_view/66356685", "UA-2026-02-23-013165-a")</f>
        <v>UA-2026-02-23-013165-a</v>
      </c>
      <c r="C194" s="1" t="s">
        <v>1503</v>
      </c>
      <c r="D194" s="1" t="s">
        <v>1242</v>
      </c>
      <c r="E194" s="1" t="s">
        <v>1553</v>
      </c>
      <c r="F194" s="1" t="s">
        <v>87</v>
      </c>
      <c r="G194" s="1" t="s">
        <v>1559</v>
      </c>
      <c r="H194" s="1" t="s">
        <v>864</v>
      </c>
      <c r="I194" s="1" t="s">
        <v>1306</v>
      </c>
      <c r="J194" s="6">
        <v>57480.14</v>
      </c>
      <c r="K194" s="5">
        <v>46073</v>
      </c>
      <c r="L194" s="7">
        <v>46387</v>
      </c>
    </row>
    <row r="195" spans="1:12" hidden="1" x14ac:dyDescent="0.25">
      <c r="A195" s="4">
        <v>189</v>
      </c>
      <c r="B195" s="2" t="str">
        <f>HYPERLINK("https://my.zakupivli.pro/remote/dispatcher/state_purchase_view/66355990", "UA-2026-02-23-012862-a")</f>
        <v>UA-2026-02-23-012862-a</v>
      </c>
      <c r="C195" s="1" t="s">
        <v>1455</v>
      </c>
      <c r="D195" s="1" t="s">
        <v>1204</v>
      </c>
      <c r="E195" s="1" t="s">
        <v>1553</v>
      </c>
      <c r="F195" s="1" t="s">
        <v>87</v>
      </c>
      <c r="G195" s="1" t="s">
        <v>1559</v>
      </c>
      <c r="H195" s="1" t="s">
        <v>864</v>
      </c>
      <c r="I195" s="1" t="s">
        <v>1307</v>
      </c>
      <c r="J195" s="6">
        <v>83835.11</v>
      </c>
      <c r="K195" s="5">
        <v>46073</v>
      </c>
      <c r="L195" s="7">
        <v>46387</v>
      </c>
    </row>
    <row r="196" spans="1:12" hidden="1" x14ac:dyDescent="0.25">
      <c r="A196" s="4">
        <v>190</v>
      </c>
      <c r="B196" s="2" t="str">
        <f>HYPERLINK("https://my.zakupivli.pro/remote/dispatcher/state_purchase_view/66281253", "UA-2026-02-19-010119-a")</f>
        <v>UA-2026-02-19-010119-a</v>
      </c>
      <c r="C196" s="1" t="s">
        <v>1534</v>
      </c>
      <c r="D196" s="1" t="s">
        <v>758</v>
      </c>
      <c r="E196" s="1" t="s">
        <v>1553</v>
      </c>
      <c r="F196" s="1" t="s">
        <v>87</v>
      </c>
      <c r="G196" s="1" t="s">
        <v>2121</v>
      </c>
      <c r="H196" s="1" t="s">
        <v>675</v>
      </c>
      <c r="I196" s="1" t="s">
        <v>1305</v>
      </c>
      <c r="J196" s="6">
        <v>2949.14</v>
      </c>
      <c r="K196" s="5">
        <v>46071</v>
      </c>
      <c r="L196" s="7">
        <v>46387</v>
      </c>
    </row>
    <row r="197" spans="1:12" hidden="1" x14ac:dyDescent="0.25">
      <c r="A197" s="4">
        <v>191</v>
      </c>
      <c r="B197" s="2" t="str">
        <f>HYPERLINK("https://my.zakupivli.pro/remote/dispatcher/state_purchase_view/66278671", "UA-2026-02-19-009105-a")</f>
        <v>UA-2026-02-19-009105-a</v>
      </c>
      <c r="C197" s="1" t="s">
        <v>1952</v>
      </c>
      <c r="D197" s="1" t="s">
        <v>267</v>
      </c>
      <c r="E197" s="1" t="s">
        <v>1553</v>
      </c>
      <c r="F197" s="1" t="s">
        <v>87</v>
      </c>
      <c r="G197" s="1" t="s">
        <v>2119</v>
      </c>
      <c r="H197" s="1" t="s">
        <v>621</v>
      </c>
      <c r="I197" s="1" t="s">
        <v>59</v>
      </c>
      <c r="J197" s="6">
        <v>22924.799999999999</v>
      </c>
      <c r="K197" s="5">
        <v>46071</v>
      </c>
      <c r="L197" s="7">
        <v>46387</v>
      </c>
    </row>
    <row r="198" spans="1:12" hidden="1" x14ac:dyDescent="0.25">
      <c r="A198" s="4">
        <v>192</v>
      </c>
      <c r="B198" s="2" t="str">
        <f>HYPERLINK("https://my.zakupivli.pro/remote/dispatcher/state_purchase_view/66276063", "UA-2026-02-19-007896-a")</f>
        <v>UA-2026-02-19-007896-a</v>
      </c>
      <c r="C198" s="1" t="s">
        <v>1785</v>
      </c>
      <c r="D198" s="1" t="s">
        <v>743</v>
      </c>
      <c r="E198" s="1" t="s">
        <v>1553</v>
      </c>
      <c r="F198" s="1" t="s">
        <v>87</v>
      </c>
      <c r="G198" s="1" t="s">
        <v>2167</v>
      </c>
      <c r="H198" s="1" t="s">
        <v>1084</v>
      </c>
      <c r="I198" s="1" t="s">
        <v>377</v>
      </c>
      <c r="J198" s="6">
        <v>73746.539999999994</v>
      </c>
      <c r="K198" s="5">
        <v>46072</v>
      </c>
      <c r="L198" s="7">
        <v>46387</v>
      </c>
    </row>
    <row r="199" spans="1:12" hidden="1" x14ac:dyDescent="0.25">
      <c r="A199" s="4">
        <v>193</v>
      </c>
      <c r="B199" s="2" t="str">
        <f>HYPERLINK("https://my.zakupivli.pro/remote/dispatcher/state_purchase_view/66270797", "UA-2026-02-19-005544-a")</f>
        <v>UA-2026-02-19-005544-a</v>
      </c>
      <c r="C199" s="1" t="s">
        <v>1547</v>
      </c>
      <c r="D199" s="1" t="s">
        <v>429</v>
      </c>
      <c r="E199" s="1" t="s">
        <v>1553</v>
      </c>
      <c r="F199" s="1" t="s">
        <v>87</v>
      </c>
      <c r="G199" s="1" t="s">
        <v>1373</v>
      </c>
      <c r="H199" s="1" t="s">
        <v>409</v>
      </c>
      <c r="I199" s="1" t="s">
        <v>309</v>
      </c>
      <c r="J199" s="6">
        <v>17260</v>
      </c>
      <c r="K199" s="5">
        <v>46072</v>
      </c>
      <c r="L199" s="7">
        <v>46387</v>
      </c>
    </row>
    <row r="200" spans="1:12" hidden="1" x14ac:dyDescent="0.25">
      <c r="A200" s="4">
        <v>194</v>
      </c>
      <c r="B200" s="2" t="str">
        <f>HYPERLINK("https://my.zakupivli.pro/remote/dispatcher/state_purchase_view/66235391", "UA-2026-02-18-005100-a")</f>
        <v>UA-2026-02-18-005100-a</v>
      </c>
      <c r="C200" s="1" t="s">
        <v>2253</v>
      </c>
      <c r="D200" s="1" t="s">
        <v>593</v>
      </c>
      <c r="E200" s="1" t="s">
        <v>1553</v>
      </c>
      <c r="F200" s="1" t="s">
        <v>87</v>
      </c>
      <c r="G200" s="1" t="s">
        <v>1743</v>
      </c>
      <c r="H200" s="1" t="s">
        <v>538</v>
      </c>
      <c r="I200" s="1" t="s">
        <v>1287</v>
      </c>
      <c r="J200" s="6">
        <v>22230</v>
      </c>
      <c r="K200" s="5">
        <v>46071</v>
      </c>
      <c r="L200" s="7">
        <v>46387</v>
      </c>
    </row>
    <row r="201" spans="1:12" hidden="1" x14ac:dyDescent="0.25">
      <c r="A201" s="4">
        <v>195</v>
      </c>
      <c r="B201" s="2" t="str">
        <f>HYPERLINK("https://my.zakupivli.pro/remote/dispatcher/state_purchase_view/66234874", "UA-2026-02-18-004882-a")</f>
        <v>UA-2026-02-18-004882-a</v>
      </c>
      <c r="C201" s="1" t="s">
        <v>1594</v>
      </c>
      <c r="D201" s="1" t="s">
        <v>599</v>
      </c>
      <c r="E201" s="1" t="s">
        <v>1553</v>
      </c>
      <c r="F201" s="1" t="s">
        <v>87</v>
      </c>
      <c r="G201" s="1" t="s">
        <v>1743</v>
      </c>
      <c r="H201" s="1" t="s">
        <v>538</v>
      </c>
      <c r="I201" s="1" t="s">
        <v>1285</v>
      </c>
      <c r="J201" s="6">
        <v>4160</v>
      </c>
      <c r="K201" s="5">
        <v>46071</v>
      </c>
      <c r="L201" s="7">
        <v>46387</v>
      </c>
    </row>
    <row r="202" spans="1:12" hidden="1" x14ac:dyDescent="0.25">
      <c r="A202" s="4">
        <v>196</v>
      </c>
      <c r="B202" s="2" t="str">
        <f>HYPERLINK("https://my.zakupivli.pro/remote/dispatcher/state_purchase_view/66231716", "UA-2026-02-18-003419-a")</f>
        <v>UA-2026-02-18-003419-a</v>
      </c>
      <c r="C202" s="1" t="s">
        <v>1549</v>
      </c>
      <c r="D202" s="1" t="s">
        <v>440</v>
      </c>
      <c r="E202" s="1" t="s">
        <v>1553</v>
      </c>
      <c r="F202" s="1" t="s">
        <v>87</v>
      </c>
      <c r="G202" s="1" t="s">
        <v>1551</v>
      </c>
      <c r="H202" s="1" t="s">
        <v>536</v>
      </c>
      <c r="I202" s="1" t="s">
        <v>1278</v>
      </c>
      <c r="J202" s="6">
        <v>50000</v>
      </c>
      <c r="K202" s="5">
        <v>46071</v>
      </c>
      <c r="L202" s="7">
        <v>46387</v>
      </c>
    </row>
    <row r="203" spans="1:12" hidden="1" x14ac:dyDescent="0.25">
      <c r="A203" s="4">
        <v>197</v>
      </c>
      <c r="B203" s="2" t="str">
        <f>HYPERLINK("https://my.zakupivli.pro/remote/dispatcher/state_purchase_view/66221239", "UA-2026-02-17-013926-a")</f>
        <v>UA-2026-02-17-013926-a</v>
      </c>
      <c r="C203" s="1" t="s">
        <v>1600</v>
      </c>
      <c r="D203" s="1" t="s">
        <v>1261</v>
      </c>
      <c r="E203" s="1" t="s">
        <v>1553</v>
      </c>
      <c r="F203" s="1" t="s">
        <v>87</v>
      </c>
      <c r="G203" s="1" t="s">
        <v>2174</v>
      </c>
      <c r="H203" s="1" t="s">
        <v>1037</v>
      </c>
      <c r="I203" s="1" t="s">
        <v>380</v>
      </c>
      <c r="J203" s="6">
        <v>316800</v>
      </c>
      <c r="K203" s="5">
        <v>46090</v>
      </c>
      <c r="L203" s="7">
        <v>46387</v>
      </c>
    </row>
    <row r="204" spans="1:12" hidden="1" x14ac:dyDescent="0.25">
      <c r="A204" s="4">
        <v>198</v>
      </c>
      <c r="B204" s="2" t="str">
        <f>HYPERLINK("https://my.zakupivli.pro/remote/dispatcher/state_purchase_view/66198859", "UA-2026-02-17-003892-a")</f>
        <v>UA-2026-02-17-003892-a</v>
      </c>
      <c r="C204" s="1" t="s">
        <v>1800</v>
      </c>
      <c r="D204" s="1" t="s">
        <v>711</v>
      </c>
      <c r="E204" s="1" t="s">
        <v>1553</v>
      </c>
      <c r="F204" s="1" t="s">
        <v>87</v>
      </c>
      <c r="G204" s="1" t="s">
        <v>2232</v>
      </c>
      <c r="H204" s="1" t="s">
        <v>454</v>
      </c>
      <c r="I204" s="1" t="s">
        <v>1341</v>
      </c>
      <c r="J204" s="6">
        <v>3194000</v>
      </c>
      <c r="K204" s="5">
        <v>46077</v>
      </c>
      <c r="L204" s="7">
        <v>46387</v>
      </c>
    </row>
    <row r="205" spans="1:12" hidden="1" x14ac:dyDescent="0.25">
      <c r="A205" s="4">
        <v>199</v>
      </c>
      <c r="B205" s="2" t="str">
        <f>HYPERLINK("https://my.zakupivli.pro/remote/dispatcher/state_purchase_view/66184177", "UA-2026-02-16-013056-a")</f>
        <v>UA-2026-02-16-013056-a</v>
      </c>
      <c r="C205" s="1" t="s">
        <v>1683</v>
      </c>
      <c r="D205" s="1" t="s">
        <v>735</v>
      </c>
      <c r="E205" s="1" t="s">
        <v>1553</v>
      </c>
      <c r="F205" s="1" t="s">
        <v>87</v>
      </c>
      <c r="G205" s="1"/>
      <c r="H205" s="1"/>
      <c r="I205" s="1"/>
      <c r="J205" s="1"/>
      <c r="K205" s="1" t="s">
        <v>53</v>
      </c>
      <c r="L205" s="1"/>
    </row>
    <row r="206" spans="1:12" hidden="1" x14ac:dyDescent="0.25">
      <c r="A206" s="4">
        <v>200</v>
      </c>
      <c r="B206" s="2" t="str">
        <f>HYPERLINK("https://my.zakupivli.pro/remote/dispatcher/state_purchase_view/66182866", "UA-2026-02-16-012471-a")</f>
        <v>UA-2026-02-16-012471-a</v>
      </c>
      <c r="C206" s="1" t="s">
        <v>2248</v>
      </c>
      <c r="D206" s="1" t="s">
        <v>735</v>
      </c>
      <c r="E206" s="1" t="s">
        <v>1553</v>
      </c>
      <c r="F206" s="1" t="s">
        <v>87</v>
      </c>
      <c r="G206" s="1" t="s">
        <v>2075</v>
      </c>
      <c r="H206" s="1" t="s">
        <v>984</v>
      </c>
      <c r="I206" s="1" t="s">
        <v>1331</v>
      </c>
      <c r="J206" s="6">
        <v>239391.1</v>
      </c>
      <c r="K206" s="5">
        <v>46077</v>
      </c>
      <c r="L206" s="7">
        <v>46387</v>
      </c>
    </row>
    <row r="207" spans="1:12" hidden="1" x14ac:dyDescent="0.25">
      <c r="A207" s="4">
        <v>201</v>
      </c>
      <c r="B207" s="2" t="str">
        <f>HYPERLINK("https://my.zakupivli.pro/remote/dispatcher/state_purchase_view/66162808", "UA-2026-02-16-003446-a")</f>
        <v>UA-2026-02-16-003446-a</v>
      </c>
      <c r="C207" s="1" t="s">
        <v>1396</v>
      </c>
      <c r="D207" s="1" t="s">
        <v>703</v>
      </c>
      <c r="E207" s="1" t="s">
        <v>1553</v>
      </c>
      <c r="F207" s="1" t="s">
        <v>87</v>
      </c>
      <c r="G207" s="1" t="s">
        <v>1428</v>
      </c>
      <c r="H207" s="1" t="s">
        <v>587</v>
      </c>
      <c r="I207" s="1" t="s">
        <v>90</v>
      </c>
      <c r="J207" s="6">
        <v>2556</v>
      </c>
      <c r="K207" s="5">
        <v>46069</v>
      </c>
      <c r="L207" s="7">
        <v>46387</v>
      </c>
    </row>
    <row r="208" spans="1:12" hidden="1" x14ac:dyDescent="0.25">
      <c r="A208" s="4">
        <v>202</v>
      </c>
      <c r="B208" s="2" t="str">
        <f>HYPERLINK("https://my.zakupivli.pro/remote/dispatcher/state_purchase_view/66160321", "UA-2026-02-16-002256-a")</f>
        <v>UA-2026-02-16-002256-a</v>
      </c>
      <c r="C208" s="1" t="s">
        <v>1640</v>
      </c>
      <c r="D208" s="1" t="s">
        <v>855</v>
      </c>
      <c r="E208" s="1" t="s">
        <v>1553</v>
      </c>
      <c r="F208" s="1" t="s">
        <v>87</v>
      </c>
      <c r="G208" s="1" t="s">
        <v>1431</v>
      </c>
      <c r="H208" s="1" t="s">
        <v>510</v>
      </c>
      <c r="I208" s="1" t="s">
        <v>153</v>
      </c>
      <c r="J208" s="6">
        <v>32961.75</v>
      </c>
      <c r="K208" s="5">
        <v>46069</v>
      </c>
      <c r="L208" s="7">
        <v>46387</v>
      </c>
    </row>
    <row r="209" spans="1:12" hidden="1" x14ac:dyDescent="0.25">
      <c r="A209" s="4">
        <v>203</v>
      </c>
      <c r="B209" s="2" t="str">
        <f>HYPERLINK("https://my.zakupivli.pro/remote/dispatcher/state_purchase_view/66137233", "UA-2026-02-13-008801-a")</f>
        <v>UA-2026-02-13-008801-a</v>
      </c>
      <c r="C209" s="1" t="s">
        <v>2039</v>
      </c>
      <c r="D209" s="1" t="s">
        <v>1275</v>
      </c>
      <c r="E209" s="1" t="s">
        <v>1553</v>
      </c>
      <c r="F209" s="1" t="s">
        <v>87</v>
      </c>
      <c r="G209" s="1" t="s">
        <v>2073</v>
      </c>
      <c r="H209" s="1" t="s">
        <v>781</v>
      </c>
      <c r="I209" s="1" t="s">
        <v>195</v>
      </c>
      <c r="J209" s="6">
        <v>1500606</v>
      </c>
      <c r="K209" s="5">
        <v>46094</v>
      </c>
      <c r="L209" s="7">
        <v>46387</v>
      </c>
    </row>
    <row r="210" spans="1:12" hidden="1" x14ac:dyDescent="0.25">
      <c r="A210" s="4">
        <v>204</v>
      </c>
      <c r="B210" s="2" t="str">
        <f>HYPERLINK("https://my.zakupivli.pro/remote/dispatcher/state_purchase_view/66136247", "UA-2026-02-13-008345-a")</f>
        <v>UA-2026-02-13-008345-a</v>
      </c>
      <c r="C210" s="1" t="s">
        <v>1802</v>
      </c>
      <c r="D210" s="1" t="s">
        <v>348</v>
      </c>
      <c r="E210" s="1" t="s">
        <v>1553</v>
      </c>
      <c r="F210" s="1" t="s">
        <v>87</v>
      </c>
      <c r="G210" s="1" t="s">
        <v>1431</v>
      </c>
      <c r="H210" s="1" t="s">
        <v>510</v>
      </c>
      <c r="I210" s="1" t="s">
        <v>152</v>
      </c>
      <c r="J210" s="6">
        <v>97291.48</v>
      </c>
      <c r="K210" s="5">
        <v>46066</v>
      </c>
      <c r="L210" s="7">
        <v>46387</v>
      </c>
    </row>
    <row r="211" spans="1:12" hidden="1" x14ac:dyDescent="0.25">
      <c r="A211" s="4">
        <v>205</v>
      </c>
      <c r="B211" s="2" t="str">
        <f>HYPERLINK("https://my.zakupivli.pro/remote/dispatcher/state_purchase_view/66127878", "UA-2026-02-13-004462-a")</f>
        <v>UA-2026-02-13-004462-a</v>
      </c>
      <c r="C211" s="1" t="s">
        <v>1466</v>
      </c>
      <c r="D211" s="1" t="s">
        <v>347</v>
      </c>
      <c r="E211" s="1" t="s">
        <v>1553</v>
      </c>
      <c r="F211" s="1" t="s">
        <v>87</v>
      </c>
      <c r="G211" s="1" t="s">
        <v>1431</v>
      </c>
      <c r="H211" s="1" t="s">
        <v>510</v>
      </c>
      <c r="I211" s="1" t="s">
        <v>151</v>
      </c>
      <c r="J211" s="6">
        <v>41650.75</v>
      </c>
      <c r="K211" s="5">
        <v>46066</v>
      </c>
      <c r="L211" s="7">
        <v>46387</v>
      </c>
    </row>
    <row r="212" spans="1:12" hidden="1" x14ac:dyDescent="0.25">
      <c r="A212" s="4">
        <v>206</v>
      </c>
      <c r="B212" s="2" t="str">
        <f>HYPERLINK("https://my.zakupivli.pro/remote/dispatcher/state_purchase_view/66126181", "UA-2026-02-13-003689-a")</f>
        <v>UA-2026-02-13-003689-a</v>
      </c>
      <c r="C212" s="1" t="s">
        <v>1640</v>
      </c>
      <c r="D212" s="1" t="s">
        <v>855</v>
      </c>
      <c r="E212" s="1" t="s">
        <v>1553</v>
      </c>
      <c r="F212" s="1" t="s">
        <v>87</v>
      </c>
      <c r="G212" s="1" t="s">
        <v>1431</v>
      </c>
      <c r="H212" s="1" t="s">
        <v>510</v>
      </c>
      <c r="I212" s="1" t="s">
        <v>150</v>
      </c>
      <c r="J212" s="6">
        <v>6706.07</v>
      </c>
      <c r="K212" s="5">
        <v>46066</v>
      </c>
      <c r="L212" s="7">
        <v>46387</v>
      </c>
    </row>
    <row r="213" spans="1:12" hidden="1" x14ac:dyDescent="0.25">
      <c r="A213" s="4">
        <v>207</v>
      </c>
      <c r="B213" s="2" t="str">
        <f>HYPERLINK("https://my.zakupivli.pro/remote/dispatcher/state_purchase_view/66111833", "UA-2026-02-12-012584-a")</f>
        <v>UA-2026-02-12-012584-a</v>
      </c>
      <c r="C213" s="1" t="s">
        <v>1483</v>
      </c>
      <c r="D213" s="1" t="s">
        <v>858</v>
      </c>
      <c r="E213" s="1" t="s">
        <v>1553</v>
      </c>
      <c r="F213" s="1" t="s">
        <v>87</v>
      </c>
      <c r="G213" s="1" t="s">
        <v>2288</v>
      </c>
      <c r="H213" s="1" t="s">
        <v>595</v>
      </c>
      <c r="I213" s="1" t="s">
        <v>174</v>
      </c>
      <c r="J213" s="6">
        <v>755.1</v>
      </c>
      <c r="K213" s="5">
        <v>46065</v>
      </c>
      <c r="L213" s="7">
        <v>46387</v>
      </c>
    </row>
    <row r="214" spans="1:12" hidden="1" x14ac:dyDescent="0.25">
      <c r="A214" s="4">
        <v>208</v>
      </c>
      <c r="B214" s="2" t="str">
        <f>HYPERLINK("https://my.zakupivli.pro/remote/dispatcher/state_purchase_view/66110884", "UA-2026-02-12-012137-a")</f>
        <v>UA-2026-02-12-012137-a</v>
      </c>
      <c r="C214" s="1" t="s">
        <v>2283</v>
      </c>
      <c r="D214" s="1" t="s">
        <v>695</v>
      </c>
      <c r="E214" s="1" t="s">
        <v>1553</v>
      </c>
      <c r="F214" s="1" t="s">
        <v>87</v>
      </c>
      <c r="G214" s="1" t="s">
        <v>2257</v>
      </c>
      <c r="H214" s="1" t="s">
        <v>587</v>
      </c>
      <c r="I214" s="1" t="s">
        <v>173</v>
      </c>
      <c r="J214" s="6">
        <v>425420</v>
      </c>
      <c r="K214" s="5">
        <v>46073</v>
      </c>
      <c r="L214" s="7">
        <v>46387</v>
      </c>
    </row>
    <row r="215" spans="1:12" hidden="1" x14ac:dyDescent="0.25">
      <c r="A215" s="4">
        <v>209</v>
      </c>
      <c r="B215" s="2" t="str">
        <f>HYPERLINK("https://my.zakupivli.pro/remote/dispatcher/state_purchase_view/66109842", "UA-2026-02-12-011645-a")</f>
        <v>UA-2026-02-12-011645-a</v>
      </c>
      <c r="C215" s="1" t="s">
        <v>1396</v>
      </c>
      <c r="D215" s="1" t="s">
        <v>703</v>
      </c>
      <c r="E215" s="1" t="s">
        <v>1553</v>
      </c>
      <c r="F215" s="1" t="s">
        <v>87</v>
      </c>
      <c r="G215" s="1" t="s">
        <v>2288</v>
      </c>
      <c r="H215" s="1" t="s">
        <v>595</v>
      </c>
      <c r="I215" s="1" t="s">
        <v>133</v>
      </c>
      <c r="J215" s="6">
        <v>7881</v>
      </c>
      <c r="K215" s="5">
        <v>46065</v>
      </c>
      <c r="L215" s="7">
        <v>46387</v>
      </c>
    </row>
    <row r="216" spans="1:12" hidden="1" x14ac:dyDescent="0.25">
      <c r="A216" s="4">
        <v>210</v>
      </c>
      <c r="B216" s="2" t="str">
        <f>HYPERLINK("https://my.zakupivli.pro/remote/dispatcher/state_purchase_view/66096297", "UA-2026-02-12-005983-a")</f>
        <v>UA-2026-02-12-005983-a</v>
      </c>
      <c r="C216" s="1" t="s">
        <v>1498</v>
      </c>
      <c r="D216" s="1" t="s">
        <v>736</v>
      </c>
      <c r="E216" s="1" t="s">
        <v>1553</v>
      </c>
      <c r="F216" s="1" t="s">
        <v>87</v>
      </c>
      <c r="G216" s="1" t="s">
        <v>2222</v>
      </c>
      <c r="H216" s="1" t="s">
        <v>771</v>
      </c>
      <c r="I216" s="1" t="s">
        <v>136</v>
      </c>
      <c r="J216" s="6">
        <v>349014.8</v>
      </c>
      <c r="K216" s="5">
        <v>46084</v>
      </c>
      <c r="L216" s="7">
        <v>46387</v>
      </c>
    </row>
    <row r="217" spans="1:12" hidden="1" x14ac:dyDescent="0.25">
      <c r="A217" s="4">
        <v>211</v>
      </c>
      <c r="B217" s="2" t="str">
        <f>HYPERLINK("https://my.zakupivli.pro/remote/dispatcher/state_purchase_view/66077711", "UA-2026-02-11-014416-a")</f>
        <v>UA-2026-02-11-014416-a</v>
      </c>
      <c r="C217" s="1" t="s">
        <v>1369</v>
      </c>
      <c r="D217" s="1" t="s">
        <v>699</v>
      </c>
      <c r="E217" s="1" t="s">
        <v>1553</v>
      </c>
      <c r="F217" s="1" t="s">
        <v>87</v>
      </c>
      <c r="G217" s="1" t="s">
        <v>2167</v>
      </c>
      <c r="H217" s="1" t="s">
        <v>1084</v>
      </c>
      <c r="I217" s="1" t="s">
        <v>378</v>
      </c>
      <c r="J217" s="6">
        <v>134576.04</v>
      </c>
      <c r="K217" s="5">
        <v>46071</v>
      </c>
      <c r="L217" s="7">
        <v>46387</v>
      </c>
    </row>
    <row r="218" spans="1:12" hidden="1" x14ac:dyDescent="0.25">
      <c r="A218" s="4">
        <v>212</v>
      </c>
      <c r="B218" s="2" t="str">
        <f>HYPERLINK("https://my.zakupivli.pro/remote/dispatcher/state_purchase_view/66062374", "UA-2026-02-11-007513-a")</f>
        <v>UA-2026-02-11-007513-a</v>
      </c>
      <c r="C218" s="1" t="s">
        <v>1579</v>
      </c>
      <c r="D218" s="1" t="s">
        <v>702</v>
      </c>
      <c r="E218" s="1" t="s">
        <v>1553</v>
      </c>
      <c r="F218" s="1" t="s">
        <v>87</v>
      </c>
      <c r="G218" s="1" t="s">
        <v>2167</v>
      </c>
      <c r="H218" s="1" t="s">
        <v>1084</v>
      </c>
      <c r="I218" s="1" t="s">
        <v>379</v>
      </c>
      <c r="J218" s="6">
        <v>20865</v>
      </c>
      <c r="K218" s="5">
        <v>46084</v>
      </c>
      <c r="L218" s="7">
        <v>46387</v>
      </c>
    </row>
    <row r="219" spans="1:12" hidden="1" x14ac:dyDescent="0.25">
      <c r="A219" s="4">
        <v>213</v>
      </c>
      <c r="B219" s="2" t="str">
        <f>HYPERLINK("https://my.zakupivli.pro/remote/dispatcher/state_purchase_view/66058896", "UA-2026-02-11-005987-a")</f>
        <v>UA-2026-02-11-005987-a</v>
      </c>
      <c r="C219" s="1" t="s">
        <v>2208</v>
      </c>
      <c r="D219" s="1" t="s">
        <v>710</v>
      </c>
      <c r="E219" s="1" t="s">
        <v>1553</v>
      </c>
      <c r="F219" s="1" t="s">
        <v>87</v>
      </c>
      <c r="G219" s="1" t="s">
        <v>2216</v>
      </c>
      <c r="H219" s="1" t="s">
        <v>632</v>
      </c>
      <c r="I219" s="1" t="s">
        <v>72</v>
      </c>
      <c r="J219" s="6">
        <v>532964.23</v>
      </c>
      <c r="K219" s="5">
        <v>46073</v>
      </c>
      <c r="L219" s="7">
        <v>46387</v>
      </c>
    </row>
    <row r="220" spans="1:12" hidden="1" x14ac:dyDescent="0.25">
      <c r="A220" s="4">
        <v>214</v>
      </c>
      <c r="B220" s="2" t="str">
        <f>HYPERLINK("https://my.zakupivli.pro/remote/dispatcher/state_purchase_view/66056611", "UA-2026-02-11-004970-a")</f>
        <v>UA-2026-02-11-004970-a</v>
      </c>
      <c r="C220" s="1" t="s">
        <v>1358</v>
      </c>
      <c r="D220" s="1" t="s">
        <v>702</v>
      </c>
      <c r="E220" s="1" t="s">
        <v>1553</v>
      </c>
      <c r="F220" s="1" t="s">
        <v>87</v>
      </c>
      <c r="G220" s="1" t="s">
        <v>2167</v>
      </c>
      <c r="H220" s="1" t="s">
        <v>1084</v>
      </c>
      <c r="I220" s="1" t="s">
        <v>382</v>
      </c>
      <c r="J220" s="6">
        <v>86980.3</v>
      </c>
      <c r="K220" s="5">
        <v>46073</v>
      </c>
      <c r="L220" s="7">
        <v>46387</v>
      </c>
    </row>
    <row r="221" spans="1:12" hidden="1" x14ac:dyDescent="0.25">
      <c r="A221" s="4">
        <v>215</v>
      </c>
      <c r="B221" s="2" t="str">
        <f>HYPERLINK("https://my.zakupivli.pro/remote/dispatcher/state_purchase_view/66054020", "UA-2026-02-11-003813-a")</f>
        <v>UA-2026-02-11-003813-a</v>
      </c>
      <c r="C221" s="1" t="s">
        <v>2011</v>
      </c>
      <c r="D221" s="1" t="s">
        <v>713</v>
      </c>
      <c r="E221" s="1" t="s">
        <v>1553</v>
      </c>
      <c r="F221" s="1" t="s">
        <v>87</v>
      </c>
      <c r="G221" s="1" t="s">
        <v>2221</v>
      </c>
      <c r="H221" s="1" t="s">
        <v>510</v>
      </c>
      <c r="I221" s="1" t="s">
        <v>154</v>
      </c>
      <c r="J221" s="6">
        <v>70966.42</v>
      </c>
      <c r="K221" s="5">
        <v>46071</v>
      </c>
      <c r="L221" s="7">
        <v>46387</v>
      </c>
    </row>
    <row r="222" spans="1:12" hidden="1" x14ac:dyDescent="0.25">
      <c r="A222" s="4">
        <v>216</v>
      </c>
      <c r="B222" s="2" t="str">
        <f>HYPERLINK("https://my.zakupivli.pro/remote/dispatcher/state_purchase_view/66047847", "UA-2026-02-11-001100-a")</f>
        <v>UA-2026-02-11-001100-a</v>
      </c>
      <c r="C222" s="1" t="s">
        <v>1801</v>
      </c>
      <c r="D222" s="1" t="s">
        <v>700</v>
      </c>
      <c r="E222" s="1" t="s">
        <v>1553</v>
      </c>
      <c r="F222" s="1" t="s">
        <v>87</v>
      </c>
      <c r="G222" s="1" t="s">
        <v>2237</v>
      </c>
      <c r="H222" s="1" t="s">
        <v>562</v>
      </c>
      <c r="I222" s="1" t="s">
        <v>1156</v>
      </c>
      <c r="J222" s="6">
        <v>64730.87</v>
      </c>
      <c r="K222" s="5">
        <v>46073</v>
      </c>
      <c r="L222" s="7">
        <v>46387</v>
      </c>
    </row>
    <row r="223" spans="1:12" hidden="1" x14ac:dyDescent="0.25">
      <c r="A223" s="4">
        <v>217</v>
      </c>
      <c r="B223" s="2" t="str">
        <f>HYPERLINK("https://my.zakupivli.pro/remote/dispatcher/state_purchase_view/66032316", "UA-2026-02-10-011647-a")</f>
        <v>UA-2026-02-10-011647-a</v>
      </c>
      <c r="C223" s="1" t="s">
        <v>1862</v>
      </c>
      <c r="D223" s="1" t="s">
        <v>1154</v>
      </c>
      <c r="E223" s="1" t="s">
        <v>1553</v>
      </c>
      <c r="F223" s="1" t="s">
        <v>87</v>
      </c>
      <c r="G223" s="1" t="s">
        <v>1479</v>
      </c>
      <c r="H223" s="1" t="s">
        <v>794</v>
      </c>
      <c r="I223" s="1" t="s">
        <v>656</v>
      </c>
      <c r="J223" s="6">
        <v>39160.980000000003</v>
      </c>
      <c r="K223" s="5">
        <v>46063</v>
      </c>
      <c r="L223" s="7">
        <v>46387</v>
      </c>
    </row>
    <row r="224" spans="1:12" hidden="1" x14ac:dyDescent="0.25">
      <c r="A224" s="4">
        <v>218</v>
      </c>
      <c r="B224" s="2" t="str">
        <f>HYPERLINK("https://my.zakupivli.pro/remote/dispatcher/state_purchase_view/66025765", "UA-2026-02-10-008740-a")</f>
        <v>UA-2026-02-10-008740-a</v>
      </c>
      <c r="C224" s="1" t="s">
        <v>1388</v>
      </c>
      <c r="D224" s="1" t="s">
        <v>639</v>
      </c>
      <c r="E224" s="1" t="s">
        <v>1553</v>
      </c>
      <c r="F224" s="1" t="s">
        <v>87</v>
      </c>
      <c r="G224" s="1" t="s">
        <v>2121</v>
      </c>
      <c r="H224" s="1" t="s">
        <v>675</v>
      </c>
      <c r="I224" s="1" t="s">
        <v>1272</v>
      </c>
      <c r="J224" s="6">
        <v>4490</v>
      </c>
      <c r="K224" s="5">
        <v>46063</v>
      </c>
      <c r="L224" s="7">
        <v>46387</v>
      </c>
    </row>
    <row r="225" spans="1:12" hidden="1" x14ac:dyDescent="0.25">
      <c r="A225" s="4">
        <v>219</v>
      </c>
      <c r="B225" s="2" t="str">
        <f>HYPERLINK("https://my.zakupivli.pro/remote/dispatcher/state_purchase_view/65934908", "UA-2026-02-06-001293-a")</f>
        <v>UA-2026-02-06-001293-a</v>
      </c>
      <c r="C225" s="1" t="s">
        <v>1653</v>
      </c>
      <c r="D225" s="1" t="s">
        <v>1042</v>
      </c>
      <c r="E225" s="1" t="s">
        <v>1553</v>
      </c>
      <c r="F225" s="1" t="s">
        <v>87</v>
      </c>
      <c r="G225" s="1" t="s">
        <v>1623</v>
      </c>
      <c r="H225" s="1" t="s">
        <v>579</v>
      </c>
      <c r="I225" s="1" t="s">
        <v>1193</v>
      </c>
      <c r="J225" s="6">
        <v>60000</v>
      </c>
      <c r="K225" s="5">
        <v>46056</v>
      </c>
      <c r="L225" s="7">
        <v>46387</v>
      </c>
    </row>
    <row r="226" spans="1:12" hidden="1" x14ac:dyDescent="0.25">
      <c r="A226" s="4">
        <v>220</v>
      </c>
      <c r="B226" s="2" t="str">
        <f>HYPERLINK("https://my.zakupivli.pro/remote/dispatcher/state_purchase_view/65934381", "UA-2026-02-06-001066-a")</f>
        <v>UA-2026-02-06-001066-a</v>
      </c>
      <c r="C226" s="1" t="s">
        <v>2246</v>
      </c>
      <c r="D226" s="1" t="s">
        <v>1041</v>
      </c>
      <c r="E226" s="1" t="s">
        <v>1553</v>
      </c>
      <c r="F226" s="1" t="s">
        <v>87</v>
      </c>
      <c r="G226" s="1" t="s">
        <v>1623</v>
      </c>
      <c r="H226" s="1" t="s">
        <v>579</v>
      </c>
      <c r="I226" s="1" t="s">
        <v>1191</v>
      </c>
      <c r="J226" s="6">
        <v>80000</v>
      </c>
      <c r="K226" s="5">
        <v>46056</v>
      </c>
      <c r="L226" s="7">
        <v>46387</v>
      </c>
    </row>
    <row r="227" spans="1:12" hidden="1" x14ac:dyDescent="0.25">
      <c r="A227" s="4">
        <v>221</v>
      </c>
      <c r="B227" s="2" t="str">
        <f>HYPERLINK("https://my.zakupivli.pro/remote/dispatcher/state_purchase_view/65934240", "UA-2026-02-06-000984-a")</f>
        <v>UA-2026-02-06-000984-a</v>
      </c>
      <c r="C227" s="1" t="s">
        <v>1609</v>
      </c>
      <c r="D227" s="1" t="s">
        <v>1032</v>
      </c>
      <c r="E227" s="1" t="s">
        <v>1553</v>
      </c>
      <c r="F227" s="1" t="s">
        <v>87</v>
      </c>
      <c r="G227" s="1" t="s">
        <v>1623</v>
      </c>
      <c r="H227" s="1" t="s">
        <v>579</v>
      </c>
      <c r="I227" s="1" t="s">
        <v>1190</v>
      </c>
      <c r="J227" s="6">
        <v>99990</v>
      </c>
      <c r="K227" s="5">
        <v>46056</v>
      </c>
      <c r="L227" s="7">
        <v>46387</v>
      </c>
    </row>
    <row r="228" spans="1:12" hidden="1" x14ac:dyDescent="0.25">
      <c r="A228" s="4">
        <v>222</v>
      </c>
      <c r="B228" s="2" t="str">
        <f>HYPERLINK("https://my.zakupivli.pro/remote/dispatcher/state_purchase_view/65933998", "UA-2026-02-06-000911-a")</f>
        <v>UA-2026-02-06-000911-a</v>
      </c>
      <c r="C228" s="1" t="s">
        <v>1531</v>
      </c>
      <c r="D228" s="1" t="s">
        <v>1030</v>
      </c>
      <c r="E228" s="1" t="s">
        <v>1553</v>
      </c>
      <c r="F228" s="1" t="s">
        <v>87</v>
      </c>
      <c r="G228" s="1" t="s">
        <v>1623</v>
      </c>
      <c r="H228" s="1" t="s">
        <v>579</v>
      </c>
      <c r="I228" s="1" t="s">
        <v>1188</v>
      </c>
      <c r="J228" s="6">
        <v>80000</v>
      </c>
      <c r="K228" s="5">
        <v>46056</v>
      </c>
      <c r="L228" s="7">
        <v>46387</v>
      </c>
    </row>
    <row r="229" spans="1:12" hidden="1" x14ac:dyDescent="0.25">
      <c r="A229" s="4">
        <v>223</v>
      </c>
      <c r="B229" s="2" t="str">
        <f>HYPERLINK("https://my.zakupivli.pro/remote/dispatcher/state_purchase_view/65925814", "UA-2026-02-05-013942-a")</f>
        <v>UA-2026-02-05-013942-a</v>
      </c>
      <c r="C229" s="1" t="s">
        <v>1548</v>
      </c>
      <c r="D229" s="1" t="s">
        <v>1029</v>
      </c>
      <c r="E229" s="1" t="s">
        <v>1553</v>
      </c>
      <c r="F229" s="1" t="s">
        <v>87</v>
      </c>
      <c r="G229" s="1" t="s">
        <v>1623</v>
      </c>
      <c r="H229" s="1" t="s">
        <v>579</v>
      </c>
      <c r="I229" s="1" t="s">
        <v>1185</v>
      </c>
      <c r="J229" s="6">
        <v>80000</v>
      </c>
      <c r="K229" s="5">
        <v>46056</v>
      </c>
      <c r="L229" s="7">
        <v>46387</v>
      </c>
    </row>
    <row r="230" spans="1:12" hidden="1" x14ac:dyDescent="0.25">
      <c r="A230" s="4">
        <v>224</v>
      </c>
      <c r="B230" s="2" t="str">
        <f>HYPERLINK("https://my.zakupivli.pro/remote/dispatcher/state_purchase_view/65925040", "UA-2026-02-05-013581-a")</f>
        <v>UA-2026-02-05-013581-a</v>
      </c>
      <c r="C230" s="1" t="s">
        <v>1439</v>
      </c>
      <c r="D230" s="1" t="s">
        <v>1024</v>
      </c>
      <c r="E230" s="1" t="s">
        <v>1553</v>
      </c>
      <c r="F230" s="1" t="s">
        <v>87</v>
      </c>
      <c r="G230" s="1" t="s">
        <v>1623</v>
      </c>
      <c r="H230" s="1" t="s">
        <v>579</v>
      </c>
      <c r="I230" s="1" t="s">
        <v>1184</v>
      </c>
      <c r="J230" s="6">
        <v>99990</v>
      </c>
      <c r="K230" s="5">
        <v>46056</v>
      </c>
      <c r="L230" s="7">
        <v>46387</v>
      </c>
    </row>
    <row r="231" spans="1:12" hidden="1" x14ac:dyDescent="0.25">
      <c r="A231" s="4">
        <v>225</v>
      </c>
      <c r="B231" s="2" t="str">
        <f>HYPERLINK("https://my.zakupivli.pro/remote/dispatcher/state_purchase_view/65924555", "UA-2026-02-05-013421-a")</f>
        <v>UA-2026-02-05-013421-a</v>
      </c>
      <c r="C231" s="1" t="s">
        <v>1567</v>
      </c>
      <c r="D231" s="1" t="s">
        <v>1021</v>
      </c>
      <c r="E231" s="1" t="s">
        <v>1553</v>
      </c>
      <c r="F231" s="1" t="s">
        <v>87</v>
      </c>
      <c r="G231" s="1" t="s">
        <v>1623</v>
      </c>
      <c r="H231" s="1" t="s">
        <v>579</v>
      </c>
      <c r="I231" s="1" t="s">
        <v>1181</v>
      </c>
      <c r="J231" s="6">
        <v>90000</v>
      </c>
      <c r="K231" s="5">
        <v>46056</v>
      </c>
      <c r="L231" s="7">
        <v>46387</v>
      </c>
    </row>
    <row r="232" spans="1:12" hidden="1" x14ac:dyDescent="0.25">
      <c r="A232" s="4">
        <v>226</v>
      </c>
      <c r="B232" s="2" t="str">
        <f>HYPERLINK("https://my.zakupivli.pro/remote/dispatcher/state_purchase_view/65924404", "UA-2026-02-05-013311-a")</f>
        <v>UA-2026-02-05-013311-a</v>
      </c>
      <c r="C232" s="1" t="s">
        <v>28</v>
      </c>
      <c r="D232" s="1" t="s">
        <v>1011</v>
      </c>
      <c r="E232" s="1" t="s">
        <v>1553</v>
      </c>
      <c r="F232" s="1" t="s">
        <v>87</v>
      </c>
      <c r="G232" s="1" t="s">
        <v>1623</v>
      </c>
      <c r="H232" s="1" t="s">
        <v>579</v>
      </c>
      <c r="I232" s="1" t="s">
        <v>1179</v>
      </c>
      <c r="J232" s="6">
        <v>99990</v>
      </c>
      <c r="K232" s="5">
        <v>46056</v>
      </c>
      <c r="L232" s="7">
        <v>46387</v>
      </c>
    </row>
    <row r="233" spans="1:12" hidden="1" x14ac:dyDescent="0.25">
      <c r="A233" s="4">
        <v>227</v>
      </c>
      <c r="B233" s="2" t="str">
        <f>HYPERLINK("https://my.zakupivli.pro/remote/dispatcher/state_purchase_view/65924319", "UA-2026-02-05-013263-a")</f>
        <v>UA-2026-02-05-013263-a</v>
      </c>
      <c r="C233" s="1" t="s">
        <v>1499</v>
      </c>
      <c r="D233" s="1" t="s">
        <v>736</v>
      </c>
      <c r="E233" s="1" t="s">
        <v>1553</v>
      </c>
      <c r="F233" s="1" t="s">
        <v>87</v>
      </c>
      <c r="G233" s="1" t="s">
        <v>2244</v>
      </c>
      <c r="H233" s="1" t="s">
        <v>659</v>
      </c>
      <c r="I233" s="1" t="s">
        <v>95</v>
      </c>
      <c r="J233" s="6">
        <v>925280</v>
      </c>
      <c r="K233" s="5">
        <v>46077</v>
      </c>
      <c r="L233" s="7">
        <v>46387</v>
      </c>
    </row>
    <row r="234" spans="1:12" hidden="1" x14ac:dyDescent="0.25">
      <c r="A234" s="4">
        <v>228</v>
      </c>
      <c r="B234" s="2" t="str">
        <f>HYPERLINK("https://my.zakupivli.pro/remote/dispatcher/state_purchase_view/65923984", "UA-2026-02-05-013147-a")</f>
        <v>UA-2026-02-05-013147-a</v>
      </c>
      <c r="C234" s="1" t="s">
        <v>1650</v>
      </c>
      <c r="D234" s="1" t="s">
        <v>1010</v>
      </c>
      <c r="E234" s="1" t="s">
        <v>1553</v>
      </c>
      <c r="F234" s="1" t="s">
        <v>87</v>
      </c>
      <c r="G234" s="1" t="s">
        <v>1623</v>
      </c>
      <c r="H234" s="1" t="s">
        <v>579</v>
      </c>
      <c r="I234" s="1" t="s">
        <v>1176</v>
      </c>
      <c r="J234" s="6">
        <v>99990</v>
      </c>
      <c r="K234" s="5">
        <v>46056</v>
      </c>
      <c r="L234" s="7">
        <v>46387</v>
      </c>
    </row>
    <row r="235" spans="1:12" hidden="1" x14ac:dyDescent="0.25">
      <c r="A235" s="4">
        <v>229</v>
      </c>
      <c r="B235" s="2" t="str">
        <f>HYPERLINK("https://my.zakupivli.pro/remote/dispatcher/state_purchase_view/65923689", "UA-2026-02-05-013005-a")</f>
        <v>UA-2026-02-05-013005-a</v>
      </c>
      <c r="C235" s="1" t="s">
        <v>1597</v>
      </c>
      <c r="D235" s="1" t="s">
        <v>1005</v>
      </c>
      <c r="E235" s="1" t="s">
        <v>1553</v>
      </c>
      <c r="F235" s="1" t="s">
        <v>87</v>
      </c>
      <c r="G235" s="1" t="s">
        <v>1623</v>
      </c>
      <c r="H235" s="1" t="s">
        <v>579</v>
      </c>
      <c r="I235" s="1" t="s">
        <v>1173</v>
      </c>
      <c r="J235" s="6">
        <v>99990</v>
      </c>
      <c r="K235" s="5">
        <v>46056</v>
      </c>
      <c r="L235" s="7">
        <v>46387</v>
      </c>
    </row>
    <row r="236" spans="1:12" hidden="1" x14ac:dyDescent="0.25">
      <c r="A236" s="4">
        <v>230</v>
      </c>
      <c r="B236" s="2" t="str">
        <f>HYPERLINK("https://my.zakupivli.pro/remote/dispatcher/state_purchase_view/65923244", "UA-2026-02-05-012775-a")</f>
        <v>UA-2026-02-05-012775-a</v>
      </c>
      <c r="C236" s="1" t="s">
        <v>1882</v>
      </c>
      <c r="D236" s="1" t="s">
        <v>1144</v>
      </c>
      <c r="E236" s="1" t="s">
        <v>1553</v>
      </c>
      <c r="F236" s="1" t="s">
        <v>87</v>
      </c>
      <c r="G236" s="1" t="s">
        <v>1743</v>
      </c>
      <c r="H236" s="1" t="s">
        <v>538</v>
      </c>
      <c r="I236" s="1" t="s">
        <v>1269</v>
      </c>
      <c r="J236" s="6">
        <v>77700</v>
      </c>
      <c r="K236" s="5">
        <v>46058</v>
      </c>
      <c r="L236" s="7">
        <v>46387</v>
      </c>
    </row>
    <row r="237" spans="1:12" hidden="1" x14ac:dyDescent="0.25">
      <c r="A237" s="4">
        <v>231</v>
      </c>
      <c r="B237" s="2" t="str">
        <f>HYPERLINK("https://my.zakupivli.pro/remote/dispatcher/state_purchase_view/65921726", "UA-2026-02-05-012161-a")</f>
        <v>UA-2026-02-05-012161-a</v>
      </c>
      <c r="C237" s="1" t="s">
        <v>1397</v>
      </c>
      <c r="D237" s="1" t="s">
        <v>963</v>
      </c>
      <c r="E237" s="1" t="s">
        <v>1553</v>
      </c>
      <c r="F237" s="1" t="s">
        <v>87</v>
      </c>
      <c r="G237" s="1" t="s">
        <v>1623</v>
      </c>
      <c r="H237" s="1" t="s">
        <v>579</v>
      </c>
      <c r="I237" s="1" t="s">
        <v>1171</v>
      </c>
      <c r="J237" s="6">
        <v>99990</v>
      </c>
      <c r="K237" s="5">
        <v>46056</v>
      </c>
      <c r="L237" s="7">
        <v>46387</v>
      </c>
    </row>
    <row r="238" spans="1:12" hidden="1" x14ac:dyDescent="0.25">
      <c r="A238" s="4">
        <v>232</v>
      </c>
      <c r="B238" s="2" t="str">
        <f>HYPERLINK("https://my.zakupivli.pro/remote/dispatcher/state_purchase_view/65921346", "UA-2026-02-05-011959-a")</f>
        <v>UA-2026-02-05-011959-a</v>
      </c>
      <c r="C238" s="1" t="s">
        <v>1812</v>
      </c>
      <c r="D238" s="1" t="s">
        <v>350</v>
      </c>
      <c r="E238" s="1" t="s">
        <v>1553</v>
      </c>
      <c r="F238" s="1" t="s">
        <v>87</v>
      </c>
      <c r="G238" s="1" t="s">
        <v>1623</v>
      </c>
      <c r="H238" s="1" t="s">
        <v>579</v>
      </c>
      <c r="I238" s="1" t="s">
        <v>1239</v>
      </c>
      <c r="J238" s="6">
        <v>19990</v>
      </c>
      <c r="K238" s="5">
        <v>46056</v>
      </c>
      <c r="L238" s="7">
        <v>46387</v>
      </c>
    </row>
    <row r="239" spans="1:12" hidden="1" x14ac:dyDescent="0.25">
      <c r="A239" s="4">
        <v>233</v>
      </c>
      <c r="B239" s="2" t="str">
        <f>HYPERLINK("https://my.zakupivli.pro/remote/dispatcher/state_purchase_view/65919660", "UA-2026-02-05-011232-a")</f>
        <v>UA-2026-02-05-011232-a</v>
      </c>
      <c r="C239" s="1" t="s">
        <v>1495</v>
      </c>
      <c r="D239" s="1" t="s">
        <v>431</v>
      </c>
      <c r="E239" s="1" t="s">
        <v>1553</v>
      </c>
      <c r="F239" s="1" t="s">
        <v>87</v>
      </c>
      <c r="G239" s="1" t="s">
        <v>2115</v>
      </c>
      <c r="H239" s="1" t="s">
        <v>874</v>
      </c>
      <c r="I239" s="1" t="s">
        <v>1255</v>
      </c>
      <c r="J239" s="6">
        <v>300</v>
      </c>
      <c r="K239" s="5">
        <v>46058</v>
      </c>
      <c r="L239" s="7">
        <v>46387</v>
      </c>
    </row>
    <row r="240" spans="1:12" hidden="1" x14ac:dyDescent="0.25">
      <c r="A240" s="4">
        <v>234</v>
      </c>
      <c r="B240" s="2" t="str">
        <f>HYPERLINK("https://my.zakupivli.pro/remote/dispatcher/state_purchase_view/65916967", "UA-2026-02-05-010059-a")</f>
        <v>UA-2026-02-05-010059-a</v>
      </c>
      <c r="C240" s="1" t="s">
        <v>1700</v>
      </c>
      <c r="D240" s="1" t="s">
        <v>1304</v>
      </c>
      <c r="E240" s="1" t="s">
        <v>1553</v>
      </c>
      <c r="F240" s="1" t="s">
        <v>87</v>
      </c>
      <c r="G240" s="1" t="s">
        <v>1767</v>
      </c>
      <c r="H240" s="1" t="s">
        <v>946</v>
      </c>
      <c r="I240" s="1" t="s">
        <v>1746</v>
      </c>
      <c r="J240" s="6">
        <v>12000</v>
      </c>
      <c r="K240" s="5">
        <v>46048</v>
      </c>
      <c r="L240" s="7">
        <v>46387</v>
      </c>
    </row>
    <row r="241" spans="1:12" hidden="1" x14ac:dyDescent="0.25">
      <c r="A241" s="4">
        <v>235</v>
      </c>
      <c r="B241" s="2" t="str">
        <f>HYPERLINK("https://my.zakupivli.pro/remote/dispatcher/state_purchase_view/65888917", "UA-2026-02-04-014497-a")</f>
        <v>UA-2026-02-04-014497-a</v>
      </c>
      <c r="C241" s="1" t="s">
        <v>1512</v>
      </c>
      <c r="D241" s="1" t="s">
        <v>921</v>
      </c>
      <c r="E241" s="1" t="s">
        <v>1553</v>
      </c>
      <c r="F241" s="1" t="s">
        <v>87</v>
      </c>
      <c r="G241" s="1" t="s">
        <v>1623</v>
      </c>
      <c r="H241" s="1" t="s">
        <v>579</v>
      </c>
      <c r="I241" s="1" t="s">
        <v>1167</v>
      </c>
      <c r="J241" s="6">
        <v>99990</v>
      </c>
      <c r="K241" s="5">
        <v>46056</v>
      </c>
      <c r="L241" s="7">
        <v>46387</v>
      </c>
    </row>
    <row r="242" spans="1:12" hidden="1" x14ac:dyDescent="0.25">
      <c r="A242" s="4">
        <v>236</v>
      </c>
      <c r="B242" s="2" t="str">
        <f>HYPERLINK("https://my.zakupivli.pro/remote/dispatcher/state_purchase_view/65887753", "UA-2026-02-04-013932-a")</f>
        <v>UA-2026-02-04-013932-a</v>
      </c>
      <c r="C242" s="1" t="s">
        <v>20</v>
      </c>
      <c r="D242" s="1" t="s">
        <v>893</v>
      </c>
      <c r="E242" s="1" t="s">
        <v>1553</v>
      </c>
      <c r="F242" s="1" t="s">
        <v>87</v>
      </c>
      <c r="G242" s="1" t="s">
        <v>1623</v>
      </c>
      <c r="H242" s="1" t="s">
        <v>579</v>
      </c>
      <c r="I242" s="1" t="s">
        <v>1164</v>
      </c>
      <c r="J242" s="6">
        <v>79990</v>
      </c>
      <c r="K242" s="5">
        <v>46056</v>
      </c>
      <c r="L242" s="7">
        <v>46387</v>
      </c>
    </row>
    <row r="243" spans="1:12" hidden="1" x14ac:dyDescent="0.25">
      <c r="A243" s="4">
        <v>237</v>
      </c>
      <c r="B243" s="2" t="str">
        <f>HYPERLINK("https://my.zakupivli.pro/remote/dispatcher/state_purchase_view/65887355", "UA-2026-02-04-013811-a")</f>
        <v>UA-2026-02-04-013811-a</v>
      </c>
      <c r="C243" s="1" t="s">
        <v>1660</v>
      </c>
      <c r="D243" s="1" t="s">
        <v>885</v>
      </c>
      <c r="E243" s="1" t="s">
        <v>1553</v>
      </c>
      <c r="F243" s="1" t="s">
        <v>87</v>
      </c>
      <c r="G243" s="1" t="s">
        <v>1623</v>
      </c>
      <c r="H243" s="1" t="s">
        <v>579</v>
      </c>
      <c r="I243" s="1" t="s">
        <v>1133</v>
      </c>
      <c r="J243" s="6">
        <v>7500</v>
      </c>
      <c r="K243" s="5">
        <v>46056</v>
      </c>
      <c r="L243" s="7">
        <v>46387</v>
      </c>
    </row>
    <row r="244" spans="1:12" hidden="1" x14ac:dyDescent="0.25">
      <c r="A244" s="4">
        <v>238</v>
      </c>
      <c r="B244" s="2" t="str">
        <f>HYPERLINK("https://my.zakupivli.pro/remote/dispatcher/state_purchase_view/65887026", "UA-2026-02-04-013612-a")</f>
        <v>UA-2026-02-04-013612-a</v>
      </c>
      <c r="C244" s="1" t="s">
        <v>2022</v>
      </c>
      <c r="D244" s="1" t="s">
        <v>642</v>
      </c>
      <c r="E244" s="1" t="s">
        <v>1553</v>
      </c>
      <c r="F244" s="1" t="s">
        <v>87</v>
      </c>
      <c r="G244" s="1" t="s">
        <v>1623</v>
      </c>
      <c r="H244" s="1" t="s">
        <v>579</v>
      </c>
      <c r="I244" s="1" t="s">
        <v>1118</v>
      </c>
      <c r="J244" s="6">
        <v>99990</v>
      </c>
      <c r="K244" s="5">
        <v>46056</v>
      </c>
      <c r="L244" s="7">
        <v>46387</v>
      </c>
    </row>
    <row r="245" spans="1:12" hidden="1" x14ac:dyDescent="0.25">
      <c r="A245" s="4">
        <v>239</v>
      </c>
      <c r="B245" s="2" t="str">
        <f>HYPERLINK("https://my.zakupivli.pro/remote/dispatcher/state_purchase_view/65886330", "UA-2026-02-04-013369-a")</f>
        <v>UA-2026-02-04-013369-a</v>
      </c>
      <c r="C245" s="1" t="s">
        <v>1509</v>
      </c>
      <c r="D245" s="1" t="s">
        <v>645</v>
      </c>
      <c r="E245" s="1" t="s">
        <v>1553</v>
      </c>
      <c r="F245" s="1" t="s">
        <v>87</v>
      </c>
      <c r="G245" s="1" t="s">
        <v>1623</v>
      </c>
      <c r="H245" s="1" t="s">
        <v>579</v>
      </c>
      <c r="I245" s="1" t="s">
        <v>1092</v>
      </c>
      <c r="J245" s="6">
        <v>40000</v>
      </c>
      <c r="K245" s="5">
        <v>46056</v>
      </c>
      <c r="L245" s="7">
        <v>46387</v>
      </c>
    </row>
    <row r="246" spans="1:12" hidden="1" x14ac:dyDescent="0.25">
      <c r="A246" s="4">
        <v>240</v>
      </c>
      <c r="B246" s="2" t="str">
        <f>HYPERLINK("https://my.zakupivli.pro/remote/dispatcher/state_purchase_view/65885944", "UA-2026-02-04-013121-a")</f>
        <v>UA-2026-02-04-013121-a</v>
      </c>
      <c r="C246" s="1" t="s">
        <v>1511</v>
      </c>
      <c r="D246" s="1" t="s">
        <v>641</v>
      </c>
      <c r="E246" s="1" t="s">
        <v>1553</v>
      </c>
      <c r="F246" s="1" t="s">
        <v>87</v>
      </c>
      <c r="G246" s="1" t="s">
        <v>1623</v>
      </c>
      <c r="H246" s="1" t="s">
        <v>579</v>
      </c>
      <c r="I246" s="1" t="s">
        <v>1085</v>
      </c>
      <c r="J246" s="6">
        <v>20000</v>
      </c>
      <c r="K246" s="5">
        <v>46056</v>
      </c>
      <c r="L246" s="7">
        <v>46387</v>
      </c>
    </row>
    <row r="247" spans="1:12" hidden="1" x14ac:dyDescent="0.25">
      <c r="A247" s="4">
        <v>241</v>
      </c>
      <c r="B247" s="2" t="str">
        <f>HYPERLINK("https://my.zakupivli.pro/remote/dispatcher/state_purchase_view/65885481", "UA-2026-02-04-012964-a")</f>
        <v>UA-2026-02-04-012964-a</v>
      </c>
      <c r="C247" s="1" t="s">
        <v>1527</v>
      </c>
      <c r="D247" s="1" t="s">
        <v>627</v>
      </c>
      <c r="E247" s="1" t="s">
        <v>1553</v>
      </c>
      <c r="F247" s="1" t="s">
        <v>87</v>
      </c>
      <c r="G247" s="1" t="s">
        <v>1623</v>
      </c>
      <c r="H247" s="1" t="s">
        <v>579</v>
      </c>
      <c r="I247" s="1" t="s">
        <v>1046</v>
      </c>
      <c r="J247" s="6">
        <v>99990</v>
      </c>
      <c r="K247" s="5">
        <v>46056</v>
      </c>
      <c r="L247" s="7">
        <v>46387</v>
      </c>
    </row>
    <row r="248" spans="1:12" hidden="1" x14ac:dyDescent="0.25">
      <c r="A248" s="4">
        <v>242</v>
      </c>
      <c r="B248" s="2" t="str">
        <f>HYPERLINK("https://my.zakupivli.pro/remote/dispatcher/state_purchase_view/65884743", "UA-2026-02-04-012647-a")</f>
        <v>UA-2026-02-04-012647-a</v>
      </c>
      <c r="C248" s="1" t="s">
        <v>1589</v>
      </c>
      <c r="D248" s="1" t="s">
        <v>493</v>
      </c>
      <c r="E248" s="1" t="s">
        <v>1553</v>
      </c>
      <c r="F248" s="1" t="s">
        <v>87</v>
      </c>
      <c r="G248" s="1" t="s">
        <v>1623</v>
      </c>
      <c r="H248" s="1" t="s">
        <v>579</v>
      </c>
      <c r="I248" s="1" t="s">
        <v>999</v>
      </c>
      <c r="J248" s="6">
        <v>50000</v>
      </c>
      <c r="K248" s="5">
        <v>46056</v>
      </c>
      <c r="L248" s="7">
        <v>46387</v>
      </c>
    </row>
    <row r="249" spans="1:12" hidden="1" x14ac:dyDescent="0.25">
      <c r="A249" s="4">
        <v>243</v>
      </c>
      <c r="B249" s="2" t="str">
        <f>HYPERLINK("https://my.zakupivli.pro/remote/dispatcher/state_purchase_view/65884487", "UA-2026-02-04-012504-a")</f>
        <v>UA-2026-02-04-012504-a</v>
      </c>
      <c r="C249" s="1" t="s">
        <v>1385</v>
      </c>
      <c r="D249" s="1" t="s">
        <v>314</v>
      </c>
      <c r="E249" s="1" t="s">
        <v>1553</v>
      </c>
      <c r="F249" s="1" t="s">
        <v>87</v>
      </c>
      <c r="G249" s="1" t="s">
        <v>1623</v>
      </c>
      <c r="H249" s="1" t="s">
        <v>579</v>
      </c>
      <c r="I249" s="1" t="s">
        <v>978</v>
      </c>
      <c r="J249" s="6">
        <v>10000</v>
      </c>
      <c r="K249" s="5">
        <v>46056</v>
      </c>
      <c r="L249" s="7">
        <v>46387</v>
      </c>
    </row>
    <row r="250" spans="1:12" hidden="1" x14ac:dyDescent="0.25">
      <c r="A250" s="4">
        <v>244</v>
      </c>
      <c r="B250" s="2" t="str">
        <f>HYPERLINK("https://my.zakupivli.pro/remote/dispatcher/state_purchase_view/65883799", "UA-2026-02-04-012276-a")</f>
        <v>UA-2026-02-04-012276-a</v>
      </c>
      <c r="C250" s="1" t="s">
        <v>1569</v>
      </c>
      <c r="D250" s="1" t="s">
        <v>242</v>
      </c>
      <c r="E250" s="1" t="s">
        <v>1553</v>
      </c>
      <c r="F250" s="1" t="s">
        <v>87</v>
      </c>
      <c r="G250" s="1" t="s">
        <v>1623</v>
      </c>
      <c r="H250" s="1" t="s">
        <v>579</v>
      </c>
      <c r="I250" s="1" t="s">
        <v>959</v>
      </c>
      <c r="J250" s="6">
        <v>15000</v>
      </c>
      <c r="K250" s="5">
        <v>46056</v>
      </c>
      <c r="L250" s="7">
        <v>46387</v>
      </c>
    </row>
    <row r="251" spans="1:12" hidden="1" x14ac:dyDescent="0.25">
      <c r="A251" s="4">
        <v>245</v>
      </c>
      <c r="B251" s="2" t="str">
        <f>HYPERLINK("https://my.zakupivli.pro/remote/dispatcher/state_purchase_view/65883337", "UA-2026-02-04-012004-a")</f>
        <v>UA-2026-02-04-012004-a</v>
      </c>
      <c r="C251" s="1" t="s">
        <v>1855</v>
      </c>
      <c r="D251" s="1" t="s">
        <v>1159</v>
      </c>
      <c r="E251" s="1" t="s">
        <v>1553</v>
      </c>
      <c r="F251" s="1" t="s">
        <v>87</v>
      </c>
      <c r="G251" s="1" t="s">
        <v>2143</v>
      </c>
      <c r="H251" s="1" t="s">
        <v>684</v>
      </c>
      <c r="I251" s="1" t="s">
        <v>123</v>
      </c>
      <c r="J251" s="6">
        <v>99962</v>
      </c>
      <c r="K251" s="5">
        <v>46056</v>
      </c>
      <c r="L251" s="7">
        <v>46387</v>
      </c>
    </row>
    <row r="252" spans="1:12" hidden="1" x14ac:dyDescent="0.25">
      <c r="A252" s="4">
        <v>246</v>
      </c>
      <c r="B252" s="2" t="str">
        <f>HYPERLINK("https://my.zakupivli.pro/remote/dispatcher/state_purchase_view/65852347", "UA-2026-02-03-015066-a")</f>
        <v>UA-2026-02-03-015066-a</v>
      </c>
      <c r="C252" s="1" t="s">
        <v>2205</v>
      </c>
      <c r="D252" s="1" t="s">
        <v>711</v>
      </c>
      <c r="E252" s="1" t="s">
        <v>1553</v>
      </c>
      <c r="F252" s="1" t="s">
        <v>87</v>
      </c>
      <c r="G252" s="1" t="s">
        <v>2090</v>
      </c>
      <c r="H252" s="1" t="s">
        <v>923</v>
      </c>
      <c r="I252" s="1" t="s">
        <v>1299</v>
      </c>
      <c r="J252" s="6">
        <v>4331800</v>
      </c>
      <c r="K252" s="5">
        <v>46072</v>
      </c>
      <c r="L252" s="7">
        <v>46387</v>
      </c>
    </row>
    <row r="253" spans="1:12" hidden="1" x14ac:dyDescent="0.25">
      <c r="A253" s="4">
        <v>247</v>
      </c>
      <c r="B253" s="2" t="str">
        <f>HYPERLINK("https://my.zakupivli.pro/remote/dispatcher/state_purchase_view/65849301", "UA-2026-02-03-013646-a")</f>
        <v>UA-2026-02-03-013646-a</v>
      </c>
      <c r="C253" s="1" t="s">
        <v>1705</v>
      </c>
      <c r="D253" s="1" t="s">
        <v>1288</v>
      </c>
      <c r="E253" s="1" t="s">
        <v>1553</v>
      </c>
      <c r="F253" s="1" t="s">
        <v>87</v>
      </c>
      <c r="G253" s="1" t="s">
        <v>1468</v>
      </c>
      <c r="H253" s="1" t="s">
        <v>570</v>
      </c>
      <c r="I253" s="1" t="s">
        <v>358</v>
      </c>
      <c r="J253" s="6">
        <v>552000</v>
      </c>
      <c r="K253" s="5">
        <v>46042</v>
      </c>
      <c r="L253" s="7">
        <v>46387</v>
      </c>
    </row>
    <row r="254" spans="1:12" hidden="1" x14ac:dyDescent="0.25">
      <c r="A254" s="4">
        <v>248</v>
      </c>
      <c r="B254" s="2" t="str">
        <f>HYPERLINK("https://my.zakupivli.pro/remote/dispatcher/state_purchase_view/65847851", "UA-2026-02-03-012943-a")</f>
        <v>UA-2026-02-03-012943-a</v>
      </c>
      <c r="C254" s="1" t="s">
        <v>1519</v>
      </c>
      <c r="D254" s="1" t="s">
        <v>1057</v>
      </c>
      <c r="E254" s="1" t="s">
        <v>1553</v>
      </c>
      <c r="F254" s="1" t="s">
        <v>87</v>
      </c>
      <c r="G254" s="1" t="s">
        <v>2015</v>
      </c>
      <c r="H254" s="1" t="s">
        <v>505</v>
      </c>
      <c r="I254" s="1" t="s">
        <v>1197</v>
      </c>
      <c r="J254" s="6">
        <v>27848.799999999999</v>
      </c>
      <c r="K254" s="5">
        <v>46056</v>
      </c>
      <c r="L254" s="7">
        <v>46387</v>
      </c>
    </row>
    <row r="255" spans="1:12" hidden="1" x14ac:dyDescent="0.25">
      <c r="A255" s="4">
        <v>249</v>
      </c>
      <c r="B255" s="2" t="str">
        <f>HYPERLINK("https://my.zakupivli.pro/remote/dispatcher/state_purchase_view/65846385", "UA-2026-02-03-012315-a")</f>
        <v>UA-2026-02-03-012315-a</v>
      </c>
      <c r="C255" s="1" t="s">
        <v>1955</v>
      </c>
      <c r="D255" s="1" t="s">
        <v>927</v>
      </c>
      <c r="E255" s="1" t="s">
        <v>1553</v>
      </c>
      <c r="F255" s="1" t="s">
        <v>87</v>
      </c>
      <c r="G255" s="1" t="s">
        <v>2130</v>
      </c>
      <c r="H255" s="1" t="s">
        <v>936</v>
      </c>
      <c r="I255" s="1" t="s">
        <v>1755</v>
      </c>
      <c r="J255" s="6">
        <v>90000</v>
      </c>
      <c r="K255" s="5">
        <v>46056</v>
      </c>
      <c r="L255" s="7">
        <v>46387</v>
      </c>
    </row>
    <row r="256" spans="1:12" hidden="1" x14ac:dyDescent="0.25">
      <c r="A256" s="4">
        <v>250</v>
      </c>
      <c r="B256" s="2" t="str">
        <f>HYPERLINK("https://my.zakupivli.pro/remote/dispatcher/state_purchase_view/65845737", "UA-2026-02-03-012030-a")</f>
        <v>UA-2026-02-03-012030-a</v>
      </c>
      <c r="C256" s="1" t="s">
        <v>1613</v>
      </c>
      <c r="D256" s="1" t="s">
        <v>893</v>
      </c>
      <c r="E256" s="1" t="s">
        <v>1553</v>
      </c>
      <c r="F256" s="1" t="s">
        <v>87</v>
      </c>
      <c r="G256" s="1" t="s">
        <v>2130</v>
      </c>
      <c r="H256" s="1" t="s">
        <v>936</v>
      </c>
      <c r="I256" s="1" t="s">
        <v>1754</v>
      </c>
      <c r="J256" s="6">
        <v>20000</v>
      </c>
      <c r="K256" s="5">
        <v>46056</v>
      </c>
      <c r="L256" s="7">
        <v>46387</v>
      </c>
    </row>
    <row r="257" spans="1:12" hidden="1" x14ac:dyDescent="0.25">
      <c r="A257" s="4">
        <v>251</v>
      </c>
      <c r="B257" s="2" t="str">
        <f>HYPERLINK("https://my.zakupivli.pro/remote/dispatcher/state_purchase_view/65845407", "UA-2026-02-03-011828-a")</f>
        <v>UA-2026-02-03-011828-a</v>
      </c>
      <c r="C257" s="1" t="s">
        <v>2209</v>
      </c>
      <c r="D257" s="1" t="s">
        <v>742</v>
      </c>
      <c r="E257" s="1" t="s">
        <v>1553</v>
      </c>
      <c r="F257" s="1" t="s">
        <v>87</v>
      </c>
      <c r="G257" s="1" t="s">
        <v>2130</v>
      </c>
      <c r="H257" s="1" t="s">
        <v>936</v>
      </c>
      <c r="I257" s="1" t="s">
        <v>1753</v>
      </c>
      <c r="J257" s="6">
        <v>40000</v>
      </c>
      <c r="K257" s="5">
        <v>46056</v>
      </c>
      <c r="L257" s="7">
        <v>46387</v>
      </c>
    </row>
    <row r="258" spans="1:12" hidden="1" x14ac:dyDescent="0.25">
      <c r="A258" s="4">
        <v>252</v>
      </c>
      <c r="B258" s="2" t="str">
        <f>HYPERLINK("https://my.zakupivli.pro/remote/dispatcher/state_purchase_view/65844646", "UA-2026-02-03-011486-a")</f>
        <v>UA-2026-02-03-011486-a</v>
      </c>
      <c r="C258" s="1" t="s">
        <v>1788</v>
      </c>
      <c r="D258" s="1" t="s">
        <v>737</v>
      </c>
      <c r="E258" s="1" t="s">
        <v>1553</v>
      </c>
      <c r="F258" s="1" t="s">
        <v>87</v>
      </c>
      <c r="G258" s="1" t="s">
        <v>2130</v>
      </c>
      <c r="H258" s="1" t="s">
        <v>936</v>
      </c>
      <c r="I258" s="1" t="s">
        <v>791</v>
      </c>
      <c r="J258" s="6">
        <v>50000</v>
      </c>
      <c r="K258" s="5">
        <v>46056</v>
      </c>
      <c r="L258" s="7">
        <v>46387</v>
      </c>
    </row>
    <row r="259" spans="1:12" hidden="1" x14ac:dyDescent="0.25">
      <c r="A259" s="4">
        <v>253</v>
      </c>
      <c r="B259" s="2" t="str">
        <f>HYPERLINK("https://my.zakupivli.pro/remote/dispatcher/state_purchase_view/65844326", "UA-2026-02-03-011301-a")</f>
        <v>UA-2026-02-03-011301-a</v>
      </c>
      <c r="C259" s="1" t="s">
        <v>1812</v>
      </c>
      <c r="D259" s="1" t="s">
        <v>350</v>
      </c>
      <c r="E259" s="1" t="s">
        <v>1553</v>
      </c>
      <c r="F259" s="1" t="s">
        <v>87</v>
      </c>
      <c r="G259" s="1" t="s">
        <v>2130</v>
      </c>
      <c r="H259" s="1" t="s">
        <v>936</v>
      </c>
      <c r="I259" s="1" t="s">
        <v>772</v>
      </c>
      <c r="J259" s="6">
        <v>80000</v>
      </c>
      <c r="K259" s="5">
        <v>46056</v>
      </c>
      <c r="L259" s="7">
        <v>46387</v>
      </c>
    </row>
    <row r="260" spans="1:12" hidden="1" x14ac:dyDescent="0.25">
      <c r="A260" s="4">
        <v>254</v>
      </c>
      <c r="B260" s="2" t="str">
        <f>HYPERLINK("https://my.zakupivli.pro/remote/dispatcher/state_purchase_view/65831237", "UA-2026-02-03-005456-a")</f>
        <v>UA-2026-02-03-005456-a</v>
      </c>
      <c r="C260" s="1" t="s">
        <v>1488</v>
      </c>
      <c r="D260" s="1" t="s">
        <v>1264</v>
      </c>
      <c r="E260" s="1" t="s">
        <v>1553</v>
      </c>
      <c r="F260" s="1" t="s">
        <v>87</v>
      </c>
      <c r="G260" s="1" t="s">
        <v>2152</v>
      </c>
      <c r="H260" s="1" t="s">
        <v>890</v>
      </c>
      <c r="I260" s="1" t="s">
        <v>949</v>
      </c>
      <c r="J260" s="6">
        <v>58512</v>
      </c>
      <c r="K260" s="5">
        <v>46056</v>
      </c>
      <c r="L260" s="7">
        <v>46387</v>
      </c>
    </row>
    <row r="261" spans="1:12" hidden="1" x14ac:dyDescent="0.25">
      <c r="A261" s="4">
        <v>255</v>
      </c>
      <c r="B261" s="2" t="str">
        <f>HYPERLINK("https://my.zakupivli.pro/remote/dispatcher/state_purchase_view/65829540", "UA-2026-02-03-004674-a")</f>
        <v>UA-2026-02-03-004674-a</v>
      </c>
      <c r="C261" s="1" t="s">
        <v>1921</v>
      </c>
      <c r="D261" s="1" t="s">
        <v>1313</v>
      </c>
      <c r="E261" s="1" t="s">
        <v>1553</v>
      </c>
      <c r="F261" s="1" t="s">
        <v>87</v>
      </c>
      <c r="G261" s="1" t="s">
        <v>1554</v>
      </c>
      <c r="H261" s="1" t="s">
        <v>85</v>
      </c>
      <c r="I261" s="1" t="s">
        <v>932</v>
      </c>
      <c r="J261" s="6">
        <v>8918.8799999999992</v>
      </c>
      <c r="K261" s="5">
        <v>46056</v>
      </c>
      <c r="L261" s="7">
        <v>46387</v>
      </c>
    </row>
    <row r="262" spans="1:12" hidden="1" x14ac:dyDescent="0.25">
      <c r="A262" s="4">
        <v>256</v>
      </c>
      <c r="B262" s="2" t="str">
        <f>HYPERLINK("https://my.zakupivli.pro/remote/dispatcher/state_purchase_view/65736377", "UA-2026-01-29-017376-a")</f>
        <v>UA-2026-01-29-017376-a</v>
      </c>
      <c r="C262" s="1" t="s">
        <v>167</v>
      </c>
      <c r="D262" s="1" t="s">
        <v>736</v>
      </c>
      <c r="E262" s="1" t="s">
        <v>1553</v>
      </c>
      <c r="F262" s="1" t="s">
        <v>87</v>
      </c>
      <c r="G262" s="1" t="s">
        <v>2163</v>
      </c>
      <c r="H262" s="1" t="s">
        <v>973</v>
      </c>
      <c r="I262" s="1" t="s">
        <v>1277</v>
      </c>
      <c r="J262" s="6">
        <v>2014197.96</v>
      </c>
      <c r="K262" s="5">
        <v>46069</v>
      </c>
      <c r="L262" s="7">
        <v>46387</v>
      </c>
    </row>
    <row r="263" spans="1:12" hidden="1" x14ac:dyDescent="0.25">
      <c r="A263" s="4">
        <v>257</v>
      </c>
      <c r="B263" s="2" t="str">
        <f>HYPERLINK("https://my.zakupivli.pro/remote/dispatcher/state_purchase_view/65731940", "UA-2026-01-29-015375-a")</f>
        <v>UA-2026-01-29-015375-a</v>
      </c>
      <c r="C263" s="1" t="s">
        <v>42</v>
      </c>
      <c r="D263" s="1" t="s">
        <v>1259</v>
      </c>
      <c r="E263" s="1" t="s">
        <v>1553</v>
      </c>
      <c r="F263" s="1" t="s">
        <v>87</v>
      </c>
      <c r="G263" s="1" t="s">
        <v>1774</v>
      </c>
      <c r="H263" s="1" t="s">
        <v>795</v>
      </c>
      <c r="I263" s="1" t="s">
        <v>749</v>
      </c>
      <c r="J263" s="6">
        <v>2700</v>
      </c>
      <c r="K263" s="5">
        <v>46051</v>
      </c>
      <c r="L263" s="7">
        <v>46387</v>
      </c>
    </row>
    <row r="264" spans="1:12" hidden="1" x14ac:dyDescent="0.25">
      <c r="A264" s="4">
        <v>258</v>
      </c>
      <c r="B264" s="2" t="str">
        <f>HYPERLINK("https://my.zakupivli.pro/remote/dispatcher/state_purchase_view/65731594", "UA-2026-01-29-015162-a")</f>
        <v>UA-2026-01-29-015162-a</v>
      </c>
      <c r="C264" s="1" t="s">
        <v>1927</v>
      </c>
      <c r="D264" s="1" t="s">
        <v>1259</v>
      </c>
      <c r="E264" s="1" t="s">
        <v>1553</v>
      </c>
      <c r="F264" s="1" t="s">
        <v>87</v>
      </c>
      <c r="G264" s="1" t="s">
        <v>2132</v>
      </c>
      <c r="H264" s="1" t="s">
        <v>1082</v>
      </c>
      <c r="I264" s="1" t="s">
        <v>690</v>
      </c>
      <c r="J264" s="6">
        <v>4800</v>
      </c>
      <c r="K264" s="5">
        <v>46051</v>
      </c>
      <c r="L264" s="7">
        <v>46387</v>
      </c>
    </row>
    <row r="265" spans="1:12" hidden="1" x14ac:dyDescent="0.25">
      <c r="A265" s="4">
        <v>259</v>
      </c>
      <c r="B265" s="2" t="str">
        <f>HYPERLINK("https://my.zakupivli.pro/remote/dispatcher/state_purchase_view/65728099", "UA-2026-01-29-013664-a")</f>
        <v>UA-2026-01-29-013664-a</v>
      </c>
      <c r="C265" s="1" t="s">
        <v>1691</v>
      </c>
      <c r="D265" s="1" t="s">
        <v>711</v>
      </c>
      <c r="E265" s="1" t="s">
        <v>1553</v>
      </c>
      <c r="F265" s="1" t="s">
        <v>87</v>
      </c>
      <c r="G265" s="1" t="s">
        <v>2223</v>
      </c>
      <c r="H265" s="1" t="s">
        <v>833</v>
      </c>
      <c r="I265" s="1" t="s">
        <v>1318</v>
      </c>
      <c r="J265" s="6">
        <v>3710000</v>
      </c>
      <c r="K265" s="5">
        <v>46073</v>
      </c>
      <c r="L265" s="7">
        <v>46387</v>
      </c>
    </row>
    <row r="266" spans="1:12" hidden="1" x14ac:dyDescent="0.25">
      <c r="A266" s="4">
        <v>260</v>
      </c>
      <c r="B266" s="2" t="str">
        <f>HYPERLINK("https://my.zakupivli.pro/remote/dispatcher/state_purchase_view/65726292", "UA-2026-01-29-012798-a")</f>
        <v>UA-2026-01-29-012798-a</v>
      </c>
      <c r="C266" s="1" t="s">
        <v>1964</v>
      </c>
      <c r="D266" s="1" t="s">
        <v>711</v>
      </c>
      <c r="E266" s="1" t="s">
        <v>1553</v>
      </c>
      <c r="F266" s="1" t="s">
        <v>87</v>
      </c>
      <c r="G266" s="1" t="s">
        <v>2231</v>
      </c>
      <c r="H266" s="1" t="s">
        <v>320</v>
      </c>
      <c r="I266" s="1" t="s">
        <v>1316</v>
      </c>
      <c r="J266" s="6">
        <v>7221250</v>
      </c>
      <c r="K266" s="5">
        <v>46073</v>
      </c>
      <c r="L266" s="7">
        <v>46387</v>
      </c>
    </row>
    <row r="267" spans="1:12" hidden="1" x14ac:dyDescent="0.25">
      <c r="A267" s="4">
        <v>261</v>
      </c>
      <c r="B267" s="2" t="str">
        <f>HYPERLINK("https://my.zakupivli.pro/remote/dispatcher/state_purchase_view/65684370", "UA-2026-01-28-012943-a")</f>
        <v>UA-2026-01-28-012943-a</v>
      </c>
      <c r="C267" s="1" t="s">
        <v>1857</v>
      </c>
      <c r="D267" s="1" t="s">
        <v>1157</v>
      </c>
      <c r="E267" s="1" t="s">
        <v>1553</v>
      </c>
      <c r="F267" s="1" t="s">
        <v>87</v>
      </c>
      <c r="G267" s="1" t="s">
        <v>2212</v>
      </c>
      <c r="H267" s="1" t="s">
        <v>934</v>
      </c>
      <c r="I267" s="1" t="s">
        <v>2273</v>
      </c>
      <c r="J267" s="6">
        <v>48024</v>
      </c>
      <c r="K267" s="5">
        <v>46049</v>
      </c>
      <c r="L267" s="7">
        <v>46387</v>
      </c>
    </row>
    <row r="268" spans="1:12" hidden="1" x14ac:dyDescent="0.25">
      <c r="A268" s="4">
        <v>262</v>
      </c>
      <c r="B268" s="2" t="str">
        <f>HYPERLINK("https://my.zakupivli.pro/remote/dispatcher/state_purchase_view/65683080", "UA-2026-01-28-012414-a")</f>
        <v>UA-2026-01-28-012414-a</v>
      </c>
      <c r="C268" s="1" t="s">
        <v>1388</v>
      </c>
      <c r="D268" s="1" t="s">
        <v>639</v>
      </c>
      <c r="E268" s="1" t="s">
        <v>1553</v>
      </c>
      <c r="F268" s="1" t="s">
        <v>87</v>
      </c>
      <c r="G268" s="1" t="s">
        <v>2126</v>
      </c>
      <c r="H268" s="1" t="s">
        <v>694</v>
      </c>
      <c r="I268" s="1" t="s">
        <v>585</v>
      </c>
      <c r="J268" s="6">
        <v>12778.76</v>
      </c>
      <c r="K268" s="5">
        <v>46050</v>
      </c>
      <c r="L268" s="7">
        <v>46387</v>
      </c>
    </row>
    <row r="269" spans="1:12" hidden="1" x14ac:dyDescent="0.25">
      <c r="A269" s="4">
        <v>263</v>
      </c>
      <c r="B269" s="2" t="str">
        <f>HYPERLINK("https://my.zakupivli.pro/remote/dispatcher/state_purchase_view/65674729", "UA-2026-01-28-008576-a")</f>
        <v>UA-2026-01-28-008576-a</v>
      </c>
      <c r="C269" s="1" t="s">
        <v>1888</v>
      </c>
      <c r="D269" s="1" t="s">
        <v>1206</v>
      </c>
      <c r="E269" s="1" t="s">
        <v>1553</v>
      </c>
      <c r="F269" s="1" t="s">
        <v>87</v>
      </c>
      <c r="G269" s="1" t="s">
        <v>1560</v>
      </c>
      <c r="H269" s="1" t="s">
        <v>108</v>
      </c>
      <c r="I269" s="1" t="s">
        <v>1174</v>
      </c>
      <c r="J269" s="6">
        <v>675204.1</v>
      </c>
      <c r="K269" s="5">
        <v>46045</v>
      </c>
      <c r="L269" s="7">
        <v>46387</v>
      </c>
    </row>
    <row r="270" spans="1:12" hidden="1" x14ac:dyDescent="0.25">
      <c r="A270" s="4">
        <v>264</v>
      </c>
      <c r="B270" s="2" t="str">
        <f>HYPERLINK("https://my.zakupivli.pro/remote/dispatcher/state_purchase_view/65672130", "UA-2026-01-28-007473-a")</f>
        <v>UA-2026-01-28-007473-a</v>
      </c>
      <c r="C270" s="1" t="s">
        <v>1889</v>
      </c>
      <c r="D270" s="1" t="s">
        <v>1206</v>
      </c>
      <c r="E270" s="1" t="s">
        <v>1553</v>
      </c>
      <c r="F270" s="1" t="s">
        <v>87</v>
      </c>
      <c r="G270" s="1" t="s">
        <v>1560</v>
      </c>
      <c r="H270" s="1" t="s">
        <v>108</v>
      </c>
      <c r="I270" s="1" t="s">
        <v>1169</v>
      </c>
      <c r="J270" s="6">
        <v>1222639.68</v>
      </c>
      <c r="K270" s="5">
        <v>46045</v>
      </c>
      <c r="L270" s="7">
        <v>46387</v>
      </c>
    </row>
    <row r="271" spans="1:12" hidden="1" x14ac:dyDescent="0.25">
      <c r="A271" s="4">
        <v>265</v>
      </c>
      <c r="B271" s="2" t="str">
        <f>HYPERLINK("https://my.zakupivli.pro/remote/dispatcher/state_purchase_view/65647692", "UA-2026-01-27-016138-a")</f>
        <v>UA-2026-01-27-016138-a</v>
      </c>
      <c r="C271" s="1" t="s">
        <v>1858</v>
      </c>
      <c r="D271" s="1" t="s">
        <v>1149</v>
      </c>
      <c r="E271" s="1" t="s">
        <v>1553</v>
      </c>
      <c r="F271" s="1" t="s">
        <v>87</v>
      </c>
      <c r="G271" s="1" t="s">
        <v>2143</v>
      </c>
      <c r="H271" s="1" t="s">
        <v>684</v>
      </c>
      <c r="I271" s="1" t="s">
        <v>120</v>
      </c>
      <c r="J271" s="6">
        <v>81880</v>
      </c>
      <c r="K271" s="5">
        <v>46049</v>
      </c>
      <c r="L271" s="7">
        <v>46387</v>
      </c>
    </row>
    <row r="272" spans="1:12" hidden="1" x14ac:dyDescent="0.25">
      <c r="A272" s="4">
        <v>266</v>
      </c>
      <c r="B272" s="2" t="str">
        <f>HYPERLINK("https://my.zakupivli.pro/remote/dispatcher/state_purchase_view/65646322", "UA-2026-01-27-015532-a")</f>
        <v>UA-2026-01-27-015532-a</v>
      </c>
      <c r="C272" s="1" t="s">
        <v>1859</v>
      </c>
      <c r="D272" s="1" t="s">
        <v>1152</v>
      </c>
      <c r="E272" s="1" t="s">
        <v>1553</v>
      </c>
      <c r="F272" s="1" t="s">
        <v>87</v>
      </c>
      <c r="G272" s="1" t="s">
        <v>1479</v>
      </c>
      <c r="H272" s="1" t="s">
        <v>794</v>
      </c>
      <c r="I272" s="1" t="s">
        <v>177</v>
      </c>
      <c r="J272" s="6">
        <v>19040.099999999999</v>
      </c>
      <c r="K272" s="5">
        <v>46049</v>
      </c>
      <c r="L272" s="7">
        <v>46387</v>
      </c>
    </row>
    <row r="273" spans="1:12" hidden="1" x14ac:dyDescent="0.25">
      <c r="A273" s="4">
        <v>267</v>
      </c>
      <c r="B273" s="2" t="str">
        <f>HYPERLINK("https://my.zakupivli.pro/remote/dispatcher/state_purchase_view/65645321", "UA-2026-01-27-015036-a")</f>
        <v>UA-2026-01-27-015036-a</v>
      </c>
      <c r="C273" s="1" t="s">
        <v>1859</v>
      </c>
      <c r="D273" s="1" t="s">
        <v>1152</v>
      </c>
      <c r="E273" s="1" t="s">
        <v>1553</v>
      </c>
      <c r="F273" s="1" t="s">
        <v>87</v>
      </c>
      <c r="G273" s="1" t="s">
        <v>1371</v>
      </c>
      <c r="H273" s="1" t="s">
        <v>60</v>
      </c>
      <c r="I273" s="1" t="s">
        <v>564</v>
      </c>
      <c r="J273" s="6">
        <v>72000</v>
      </c>
      <c r="K273" s="5">
        <v>46049</v>
      </c>
      <c r="L273" s="7">
        <v>46387</v>
      </c>
    </row>
    <row r="274" spans="1:12" hidden="1" x14ac:dyDescent="0.25">
      <c r="A274" s="4">
        <v>268</v>
      </c>
      <c r="B274" s="2" t="str">
        <f>HYPERLINK("https://my.zakupivli.pro/remote/dispatcher/state_purchase_view/65644524", "UA-2026-01-27-014666-a")</f>
        <v>UA-2026-01-27-014666-a</v>
      </c>
      <c r="C274" s="1" t="s">
        <v>1857</v>
      </c>
      <c r="D274" s="1" t="s">
        <v>1157</v>
      </c>
      <c r="E274" s="1" t="s">
        <v>1553</v>
      </c>
      <c r="F274" s="1" t="s">
        <v>87</v>
      </c>
      <c r="G274" s="1" t="s">
        <v>2212</v>
      </c>
      <c r="H274" s="1" t="s">
        <v>934</v>
      </c>
      <c r="I274" s="1" t="s">
        <v>2272</v>
      </c>
      <c r="J274" s="6">
        <v>6624</v>
      </c>
      <c r="K274" s="5">
        <v>46049</v>
      </c>
      <c r="L274" s="7">
        <v>46387</v>
      </c>
    </row>
    <row r="275" spans="1:12" hidden="1" x14ac:dyDescent="0.25">
      <c r="A275" s="4">
        <v>269</v>
      </c>
      <c r="B275" s="2" t="str">
        <f>HYPERLINK("https://my.zakupivli.pro/remote/dispatcher/state_purchase_view/65643545", "UA-2026-01-27-014174-a")</f>
        <v>UA-2026-01-27-014174-a</v>
      </c>
      <c r="C275" s="1" t="s">
        <v>1900</v>
      </c>
      <c r="D275" s="1" t="s">
        <v>1292</v>
      </c>
      <c r="E275" s="1" t="s">
        <v>1553</v>
      </c>
      <c r="F275" s="1" t="s">
        <v>87</v>
      </c>
      <c r="G275" s="1" t="s">
        <v>2212</v>
      </c>
      <c r="H275" s="1" t="s">
        <v>934</v>
      </c>
      <c r="I275" s="1" t="s">
        <v>2271</v>
      </c>
      <c r="J275" s="6">
        <v>13200</v>
      </c>
      <c r="K275" s="5">
        <v>46049</v>
      </c>
      <c r="L275" s="7">
        <v>46387</v>
      </c>
    </row>
    <row r="276" spans="1:12" hidden="1" x14ac:dyDescent="0.25">
      <c r="A276" s="4">
        <v>270</v>
      </c>
      <c r="B276" s="2" t="str">
        <f>HYPERLINK("https://my.zakupivli.pro/remote/dispatcher/state_purchase_view/65640966", "UA-2026-01-27-012995-a")</f>
        <v>UA-2026-01-27-012995-a</v>
      </c>
      <c r="C276" s="1" t="s">
        <v>1927</v>
      </c>
      <c r="D276" s="1" t="s">
        <v>1259</v>
      </c>
      <c r="E276" s="1" t="s">
        <v>1553</v>
      </c>
      <c r="F276" s="1" t="s">
        <v>87</v>
      </c>
      <c r="G276" s="1" t="s">
        <v>2101</v>
      </c>
      <c r="H276" s="1" t="s">
        <v>830</v>
      </c>
      <c r="I276" s="1" t="s">
        <v>543</v>
      </c>
      <c r="J276" s="6">
        <v>3300</v>
      </c>
      <c r="K276" s="5">
        <v>46049</v>
      </c>
      <c r="L276" s="7">
        <v>46387</v>
      </c>
    </row>
    <row r="277" spans="1:12" hidden="1" x14ac:dyDescent="0.25">
      <c r="A277" s="4">
        <v>271</v>
      </c>
      <c r="B277" s="2" t="str">
        <f>HYPERLINK("https://my.zakupivli.pro/remote/dispatcher/state_purchase_view/65597809", "UA-2026-01-26-013590-a")</f>
        <v>UA-2026-01-26-013590-a</v>
      </c>
      <c r="C277" s="1" t="s">
        <v>1782</v>
      </c>
      <c r="D277" s="1" t="s">
        <v>438</v>
      </c>
      <c r="E277" s="1" t="s">
        <v>1553</v>
      </c>
      <c r="F277" s="1" t="s">
        <v>87</v>
      </c>
      <c r="G277" s="1" t="s">
        <v>1551</v>
      </c>
      <c r="H277" s="1" t="s">
        <v>536</v>
      </c>
      <c r="I277" s="1" t="s">
        <v>515</v>
      </c>
      <c r="J277" s="6">
        <v>99800</v>
      </c>
      <c r="K277" s="5">
        <v>46048</v>
      </c>
      <c r="L277" s="7">
        <v>46387</v>
      </c>
    </row>
    <row r="278" spans="1:12" hidden="1" x14ac:dyDescent="0.25">
      <c r="A278" s="4">
        <v>272</v>
      </c>
      <c r="B278" s="2" t="str">
        <f>HYPERLINK("https://my.zakupivli.pro/remote/dispatcher/state_purchase_view/65554063", "UA-2026-01-23-015892-a")</f>
        <v>UA-2026-01-23-015892-a</v>
      </c>
      <c r="C278" s="1" t="s">
        <v>1824</v>
      </c>
      <c r="D278" s="1" t="s">
        <v>1071</v>
      </c>
      <c r="E278" s="1" t="s">
        <v>1553</v>
      </c>
      <c r="F278" s="1" t="s">
        <v>87</v>
      </c>
      <c r="G278" s="1" t="s">
        <v>1772</v>
      </c>
      <c r="H278" s="1" t="s">
        <v>796</v>
      </c>
      <c r="I278" s="1" t="s">
        <v>465</v>
      </c>
      <c r="J278" s="6">
        <v>99995.31</v>
      </c>
      <c r="K278" s="5">
        <v>46045</v>
      </c>
      <c r="L278" s="7">
        <v>46387</v>
      </c>
    </row>
    <row r="279" spans="1:12" hidden="1" x14ac:dyDescent="0.25">
      <c r="A279" s="4">
        <v>273</v>
      </c>
      <c r="B279" s="2" t="str">
        <f>HYPERLINK("https://my.zakupivli.pro/remote/dispatcher/state_purchase_view/65551651", "UA-2026-01-23-014807-a")</f>
        <v>UA-2026-01-23-014807-a</v>
      </c>
      <c r="C279" s="1" t="s">
        <v>1866</v>
      </c>
      <c r="D279" s="1" t="s">
        <v>1256</v>
      </c>
      <c r="E279" s="1" t="s">
        <v>1553</v>
      </c>
      <c r="F279" s="1" t="s">
        <v>87</v>
      </c>
      <c r="G279" s="1" t="s">
        <v>1566</v>
      </c>
      <c r="H279" s="1" t="s">
        <v>557</v>
      </c>
      <c r="I279" s="1" t="s">
        <v>99</v>
      </c>
      <c r="J279" s="6">
        <v>39600</v>
      </c>
      <c r="K279" s="5">
        <v>46045</v>
      </c>
      <c r="L279" s="7">
        <v>46387</v>
      </c>
    </row>
    <row r="280" spans="1:12" hidden="1" x14ac:dyDescent="0.25">
      <c r="A280" s="4">
        <v>274</v>
      </c>
      <c r="B280" s="2" t="str">
        <f>HYPERLINK("https://my.zakupivli.pro/remote/dispatcher/state_purchase_view/65547845", "UA-2026-01-23-013148-a")</f>
        <v>UA-2026-01-23-013148-a</v>
      </c>
      <c r="C280" s="1" t="s">
        <v>1860</v>
      </c>
      <c r="D280" s="1" t="s">
        <v>1142</v>
      </c>
      <c r="E280" s="1" t="s">
        <v>1553</v>
      </c>
      <c r="F280" s="1" t="s">
        <v>87</v>
      </c>
      <c r="G280" s="1" t="s">
        <v>1743</v>
      </c>
      <c r="H280" s="1" t="s">
        <v>538</v>
      </c>
      <c r="I280" s="1" t="s">
        <v>498</v>
      </c>
      <c r="J280" s="6">
        <v>99800</v>
      </c>
      <c r="K280" s="5">
        <v>46044</v>
      </c>
      <c r="L280" s="7">
        <v>46387</v>
      </c>
    </row>
    <row r="281" spans="1:12" hidden="1" x14ac:dyDescent="0.25">
      <c r="A281" s="4">
        <v>275</v>
      </c>
      <c r="B281" s="2" t="str">
        <f>HYPERLINK("https://my.zakupivli.pro/remote/dispatcher/state_purchase_view/65547146", "UA-2026-01-23-012753-a")</f>
        <v>UA-2026-01-23-012753-a</v>
      </c>
      <c r="C281" s="1" t="s">
        <v>1669</v>
      </c>
      <c r="D281" s="1" t="s">
        <v>673</v>
      </c>
      <c r="E281" s="1" t="s">
        <v>1553</v>
      </c>
      <c r="F281" s="1" t="s">
        <v>87</v>
      </c>
      <c r="G281" s="1" t="s">
        <v>1743</v>
      </c>
      <c r="H281" s="1" t="s">
        <v>538</v>
      </c>
      <c r="I281" s="1" t="s">
        <v>445</v>
      </c>
      <c r="J281" s="6">
        <v>6300</v>
      </c>
      <c r="K281" s="5">
        <v>46044</v>
      </c>
      <c r="L281" s="7">
        <v>46387</v>
      </c>
    </row>
    <row r="282" spans="1:12" hidden="1" x14ac:dyDescent="0.25">
      <c r="A282" s="4">
        <v>276</v>
      </c>
      <c r="B282" s="2" t="str">
        <f>HYPERLINK("https://my.zakupivli.pro/remote/dispatcher/state_purchase_view/65532626", "UA-2026-01-23-006381-a")</f>
        <v>UA-2026-01-23-006381-a</v>
      </c>
      <c r="C282" s="1" t="s">
        <v>5</v>
      </c>
      <c r="D282" s="1" t="s">
        <v>444</v>
      </c>
      <c r="E282" s="1" t="s">
        <v>1553</v>
      </c>
      <c r="F282" s="1" t="s">
        <v>87</v>
      </c>
      <c r="G282" s="1" t="s">
        <v>1624</v>
      </c>
      <c r="H282" s="1" t="s">
        <v>734</v>
      </c>
      <c r="I282" s="1" t="s">
        <v>1615</v>
      </c>
      <c r="J282" s="6">
        <v>75140</v>
      </c>
      <c r="K282" s="5">
        <v>46045</v>
      </c>
      <c r="L282" s="7">
        <v>46387</v>
      </c>
    </row>
    <row r="283" spans="1:12" hidden="1" x14ac:dyDescent="0.25">
      <c r="A283" s="4">
        <v>277</v>
      </c>
      <c r="B283" s="2" t="str">
        <f>HYPERLINK("https://my.zakupivli.pro/remote/dispatcher/state_purchase_view/65530021", "UA-2026-01-23-005247-a")</f>
        <v>UA-2026-01-23-005247-a</v>
      </c>
      <c r="C283" s="1" t="s">
        <v>1417</v>
      </c>
      <c r="D283" s="1" t="s">
        <v>439</v>
      </c>
      <c r="E283" s="1" t="s">
        <v>1553</v>
      </c>
      <c r="F283" s="1" t="s">
        <v>87</v>
      </c>
      <c r="G283" s="1" t="s">
        <v>1456</v>
      </c>
      <c r="H283" s="1" t="s">
        <v>317</v>
      </c>
      <c r="I283" s="1" t="s">
        <v>329</v>
      </c>
      <c r="J283" s="6">
        <v>99900</v>
      </c>
      <c r="K283" s="5">
        <v>46045</v>
      </c>
      <c r="L283" s="7">
        <v>46387</v>
      </c>
    </row>
    <row r="284" spans="1:12" hidden="1" x14ac:dyDescent="0.25">
      <c r="A284" s="4">
        <v>278</v>
      </c>
      <c r="B284" s="2" t="str">
        <f>HYPERLINK("https://my.zakupivli.pro/remote/dispatcher/state_purchase_view/65529377", "UA-2026-01-23-004935-a")</f>
        <v>UA-2026-01-23-004935-a</v>
      </c>
      <c r="C284" s="1" t="s">
        <v>1495</v>
      </c>
      <c r="D284" s="1" t="s">
        <v>431</v>
      </c>
      <c r="E284" s="1" t="s">
        <v>1553</v>
      </c>
      <c r="F284" s="1" t="s">
        <v>87</v>
      </c>
      <c r="G284" s="1" t="s">
        <v>1456</v>
      </c>
      <c r="H284" s="1" t="s">
        <v>317</v>
      </c>
      <c r="I284" s="1" t="s">
        <v>304</v>
      </c>
      <c r="J284" s="6">
        <v>50000</v>
      </c>
      <c r="K284" s="5">
        <v>46045</v>
      </c>
      <c r="L284" s="7">
        <v>46387</v>
      </c>
    </row>
    <row r="285" spans="1:12" hidden="1" x14ac:dyDescent="0.25">
      <c r="A285" s="4">
        <v>279</v>
      </c>
      <c r="B285" s="2" t="str">
        <f>HYPERLINK("https://my.zakupivli.pro/remote/dispatcher/state_purchase_view/65527791", "UA-2026-01-23-004235-a")</f>
        <v>UA-2026-01-23-004235-a</v>
      </c>
      <c r="C285" s="1" t="s">
        <v>2284</v>
      </c>
      <c r="D285" s="1" t="s">
        <v>441</v>
      </c>
      <c r="E285" s="1" t="s">
        <v>1553</v>
      </c>
      <c r="F285" s="1" t="s">
        <v>87</v>
      </c>
      <c r="G285" s="1" t="s">
        <v>1551</v>
      </c>
      <c r="H285" s="1" t="s">
        <v>536</v>
      </c>
      <c r="I285" s="1" t="s">
        <v>356</v>
      </c>
      <c r="J285" s="6">
        <v>70000</v>
      </c>
      <c r="K285" s="5">
        <v>46045</v>
      </c>
      <c r="L285" s="7">
        <v>46387</v>
      </c>
    </row>
    <row r="286" spans="1:12" hidden="1" x14ac:dyDescent="0.25">
      <c r="A286" s="4">
        <v>280</v>
      </c>
      <c r="B286" s="2" t="str">
        <f>HYPERLINK("https://my.zakupivli.pro/remote/dispatcher/state_purchase_view/65527083", "UA-2026-01-23-003959-a")</f>
        <v>UA-2026-01-23-003959-a</v>
      </c>
      <c r="C286" s="1" t="s">
        <v>1594</v>
      </c>
      <c r="D286" s="1" t="s">
        <v>599</v>
      </c>
      <c r="E286" s="1" t="s">
        <v>1553</v>
      </c>
      <c r="F286" s="1" t="s">
        <v>87</v>
      </c>
      <c r="G286" s="1" t="s">
        <v>1551</v>
      </c>
      <c r="H286" s="1" t="s">
        <v>536</v>
      </c>
      <c r="I286" s="1" t="s">
        <v>392</v>
      </c>
      <c r="J286" s="6">
        <v>50000</v>
      </c>
      <c r="K286" s="5">
        <v>46045</v>
      </c>
      <c r="L286" s="7">
        <v>46387</v>
      </c>
    </row>
    <row r="287" spans="1:12" hidden="1" x14ac:dyDescent="0.25">
      <c r="A287" s="4">
        <v>281</v>
      </c>
      <c r="B287" s="2" t="str">
        <f>HYPERLINK("https://my.zakupivli.pro/remote/dispatcher/state_purchase_view/65525190", "UA-2026-01-23-003125-a")</f>
        <v>UA-2026-01-23-003125-a</v>
      </c>
      <c r="C287" s="1" t="s">
        <v>1732</v>
      </c>
      <c r="D287" s="1" t="s">
        <v>596</v>
      </c>
      <c r="E287" s="1" t="s">
        <v>1553</v>
      </c>
      <c r="F287" s="1" t="s">
        <v>87</v>
      </c>
      <c r="G287" s="1" t="s">
        <v>1551</v>
      </c>
      <c r="H287" s="1" t="s">
        <v>536</v>
      </c>
      <c r="I287" s="1" t="s">
        <v>417</v>
      </c>
      <c r="J287" s="6">
        <v>99900</v>
      </c>
      <c r="K287" s="5">
        <v>46045</v>
      </c>
      <c r="L287" s="7">
        <v>46387</v>
      </c>
    </row>
    <row r="288" spans="1:12" hidden="1" x14ac:dyDescent="0.25">
      <c r="A288" s="4">
        <v>282</v>
      </c>
      <c r="B288" s="2" t="str">
        <f>HYPERLINK("https://my.zakupivli.pro/remote/dispatcher/state_purchase_view/65505754", "UA-2026-01-22-014642-a")</f>
        <v>UA-2026-01-22-014642-a</v>
      </c>
      <c r="C288" s="1" t="s">
        <v>1648</v>
      </c>
      <c r="D288" s="1" t="s">
        <v>1314</v>
      </c>
      <c r="E288" s="1" t="s">
        <v>1553</v>
      </c>
      <c r="F288" s="1" t="s">
        <v>87</v>
      </c>
      <c r="G288" s="1" t="s">
        <v>2080</v>
      </c>
      <c r="H288" s="1" t="s">
        <v>842</v>
      </c>
      <c r="I288" s="1" t="s">
        <v>1271</v>
      </c>
      <c r="J288" s="6">
        <v>584400</v>
      </c>
      <c r="K288" s="5">
        <v>46062</v>
      </c>
      <c r="L288" s="7">
        <v>46387</v>
      </c>
    </row>
    <row r="289" spans="1:12" hidden="1" x14ac:dyDescent="0.25">
      <c r="A289" s="4">
        <v>283</v>
      </c>
      <c r="B289" s="2" t="str">
        <f>HYPERLINK("https://my.zakupivli.pro/remote/dispatcher/state_purchase_view/65500531", "UA-2026-01-22-012364-a")</f>
        <v>UA-2026-01-22-012364-a</v>
      </c>
      <c r="C289" s="1" t="s">
        <v>1446</v>
      </c>
      <c r="D289" s="1" t="s">
        <v>728</v>
      </c>
      <c r="E289" s="1" t="s">
        <v>1553</v>
      </c>
      <c r="F289" s="1" t="s">
        <v>87</v>
      </c>
      <c r="G289" s="1" t="s">
        <v>1935</v>
      </c>
      <c r="H289" s="1" t="s">
        <v>637</v>
      </c>
      <c r="I289" s="1" t="s">
        <v>1236</v>
      </c>
      <c r="J289" s="6">
        <v>141492</v>
      </c>
      <c r="K289" s="5">
        <v>46063</v>
      </c>
      <c r="L289" s="7">
        <v>46387</v>
      </c>
    </row>
    <row r="290" spans="1:12" hidden="1" x14ac:dyDescent="0.25">
      <c r="A290" s="4">
        <v>284</v>
      </c>
      <c r="B290" s="2" t="str">
        <f>HYPERLINK("https://my.zakupivli.pro/remote/dispatcher/state_purchase_view/65463877", "UA-2026-01-21-016712-a")</f>
        <v>UA-2026-01-21-016712-a</v>
      </c>
      <c r="C290" s="1" t="s">
        <v>1366</v>
      </c>
      <c r="D290" s="1" t="s">
        <v>1290</v>
      </c>
      <c r="E290" s="1" t="s">
        <v>1553</v>
      </c>
      <c r="F290" s="1" t="s">
        <v>87</v>
      </c>
      <c r="G290" s="1" t="s">
        <v>2142</v>
      </c>
      <c r="H290" s="1" t="s">
        <v>948</v>
      </c>
      <c r="I290" s="1" t="s">
        <v>1649</v>
      </c>
      <c r="J290" s="6">
        <v>1850</v>
      </c>
      <c r="K290" s="5">
        <v>46037</v>
      </c>
      <c r="L290" s="7">
        <v>46387</v>
      </c>
    </row>
    <row r="291" spans="1:12" hidden="1" x14ac:dyDescent="0.25">
      <c r="A291" s="4">
        <v>285</v>
      </c>
      <c r="B291" s="2" t="str">
        <f>HYPERLINK("https://my.zakupivli.pro/remote/dispatcher/state_purchase_view/65462976", "UA-2026-01-21-016282-a")</f>
        <v>UA-2026-01-21-016282-a</v>
      </c>
      <c r="C291" s="1" t="s">
        <v>1388</v>
      </c>
      <c r="D291" s="1" t="s">
        <v>639</v>
      </c>
      <c r="E291" s="1" t="s">
        <v>1553</v>
      </c>
      <c r="F291" s="1" t="s">
        <v>87</v>
      </c>
      <c r="G291" s="1" t="s">
        <v>2121</v>
      </c>
      <c r="H291" s="1" t="s">
        <v>675</v>
      </c>
      <c r="I291" s="1" t="s">
        <v>288</v>
      </c>
      <c r="J291" s="6">
        <v>1675.99</v>
      </c>
      <c r="K291" s="5">
        <v>46041</v>
      </c>
      <c r="L291" s="7">
        <v>46387</v>
      </c>
    </row>
    <row r="292" spans="1:12" hidden="1" x14ac:dyDescent="0.25">
      <c r="A292" s="4">
        <v>286</v>
      </c>
      <c r="B292" s="2" t="str">
        <f>HYPERLINK("https://my.zakupivli.pro/remote/dispatcher/state_purchase_view/65416386", "UA-2026-01-20-014767-a")</f>
        <v>UA-2026-01-20-014767-a</v>
      </c>
      <c r="C292" s="1" t="s">
        <v>1962</v>
      </c>
      <c r="D292" s="1" t="s">
        <v>478</v>
      </c>
      <c r="E292" s="1" t="s">
        <v>1553</v>
      </c>
      <c r="F292" s="1" t="s">
        <v>87</v>
      </c>
      <c r="G292" s="1" t="s">
        <v>2107</v>
      </c>
      <c r="H292" s="1" t="s">
        <v>764</v>
      </c>
      <c r="I292" s="1" t="s">
        <v>1187</v>
      </c>
      <c r="J292" s="6">
        <v>16500</v>
      </c>
      <c r="K292" s="5">
        <v>46045</v>
      </c>
      <c r="L292" s="7">
        <v>46387</v>
      </c>
    </row>
    <row r="293" spans="1:12" hidden="1" x14ac:dyDescent="0.25">
      <c r="A293" s="4">
        <v>287</v>
      </c>
      <c r="B293" s="2" t="str">
        <f>HYPERLINK("https://my.zakupivli.pro/remote/dispatcher/state_purchase_view/65406332", "UA-2026-01-20-010484-a")</f>
        <v>UA-2026-01-20-010484-a</v>
      </c>
      <c r="C293" s="1" t="s">
        <v>1438</v>
      </c>
      <c r="D293" s="1" t="s">
        <v>1326</v>
      </c>
      <c r="E293" s="1" t="s">
        <v>1553</v>
      </c>
      <c r="F293" s="1" t="s">
        <v>87</v>
      </c>
      <c r="G293" s="1" t="s">
        <v>2083</v>
      </c>
      <c r="H293" s="1" t="s">
        <v>861</v>
      </c>
      <c r="I293" s="1" t="s">
        <v>1319</v>
      </c>
      <c r="J293" s="6">
        <v>915900</v>
      </c>
      <c r="K293" s="5">
        <v>46072</v>
      </c>
      <c r="L293" s="7">
        <v>46387</v>
      </c>
    </row>
    <row r="294" spans="1:12" hidden="1" x14ac:dyDescent="0.25">
      <c r="A294" s="4">
        <v>288</v>
      </c>
      <c r="B294" s="2" t="str">
        <f>HYPERLINK("https://my.zakupivli.pro/remote/dispatcher/state_purchase_view/65395925", "UA-2026-01-20-005987-a")</f>
        <v>UA-2026-01-20-005987-a</v>
      </c>
      <c r="C294" s="1" t="s">
        <v>1525</v>
      </c>
      <c r="D294" s="1" t="s">
        <v>1200</v>
      </c>
      <c r="E294" s="1" t="s">
        <v>1553</v>
      </c>
      <c r="F294" s="1" t="s">
        <v>87</v>
      </c>
      <c r="G294" s="1" t="s">
        <v>2169</v>
      </c>
      <c r="H294" s="1" t="s">
        <v>1002</v>
      </c>
      <c r="I294" s="1" t="s">
        <v>74</v>
      </c>
      <c r="J294" s="6">
        <v>756</v>
      </c>
      <c r="K294" s="5">
        <v>46038</v>
      </c>
      <c r="L294" s="7">
        <v>46387</v>
      </c>
    </row>
    <row r="295" spans="1:12" hidden="1" x14ac:dyDescent="0.25">
      <c r="A295" s="4">
        <v>289</v>
      </c>
      <c r="B295" s="2" t="str">
        <f>HYPERLINK("https://my.zakupivli.pro/remote/dispatcher/state_purchase_view/65393731", "UA-2026-01-20-005067-a")</f>
        <v>UA-2026-01-20-005067-a</v>
      </c>
      <c r="C295" s="1" t="s">
        <v>1829</v>
      </c>
      <c r="D295" s="1" t="s">
        <v>1295</v>
      </c>
      <c r="E295" s="1" t="s">
        <v>1553</v>
      </c>
      <c r="F295" s="1" t="s">
        <v>87</v>
      </c>
      <c r="G295" s="1" t="s">
        <v>2112</v>
      </c>
      <c r="H295" s="1" t="s">
        <v>643</v>
      </c>
      <c r="I295" s="1" t="s">
        <v>122</v>
      </c>
      <c r="J295" s="6">
        <v>599</v>
      </c>
      <c r="K295" s="5">
        <v>46042</v>
      </c>
      <c r="L295" s="7">
        <v>46387</v>
      </c>
    </row>
    <row r="296" spans="1:12" hidden="1" x14ac:dyDescent="0.25">
      <c r="A296" s="4">
        <v>290</v>
      </c>
      <c r="B296" s="2" t="str">
        <f>HYPERLINK("https://my.zakupivli.pro/remote/dispatcher/state_purchase_view/65293851", "UA-2026-01-15-012990-a")</f>
        <v>UA-2026-01-15-012990-a</v>
      </c>
      <c r="C296" s="1" t="s">
        <v>1927</v>
      </c>
      <c r="D296" s="1" t="s">
        <v>1259</v>
      </c>
      <c r="E296" s="1" t="s">
        <v>1553</v>
      </c>
      <c r="F296" s="1" t="s">
        <v>87</v>
      </c>
      <c r="G296" s="1" t="s">
        <v>2020</v>
      </c>
      <c r="H296" s="1" t="s">
        <v>869</v>
      </c>
      <c r="I296" s="1" t="s">
        <v>54</v>
      </c>
      <c r="J296" s="6">
        <v>78000</v>
      </c>
      <c r="K296" s="5">
        <v>46037</v>
      </c>
      <c r="L296" s="7">
        <v>46387</v>
      </c>
    </row>
    <row r="297" spans="1:12" hidden="1" x14ac:dyDescent="0.25">
      <c r="A297" s="4">
        <v>291</v>
      </c>
      <c r="B297" s="2" t="str">
        <f>HYPERLINK("https://my.zakupivli.pro/remote/dispatcher/state_purchase_view/65293402", "UA-2026-01-15-012839-a")</f>
        <v>UA-2026-01-15-012839-a</v>
      </c>
      <c r="C297" s="1" t="s">
        <v>1928</v>
      </c>
      <c r="D297" s="1" t="s">
        <v>1258</v>
      </c>
      <c r="E297" s="1" t="s">
        <v>1553</v>
      </c>
      <c r="F297" s="1" t="s">
        <v>87</v>
      </c>
      <c r="G297" s="1" t="s">
        <v>2020</v>
      </c>
      <c r="H297" s="1" t="s">
        <v>869</v>
      </c>
      <c r="I297" s="1" t="s">
        <v>55</v>
      </c>
      <c r="J297" s="6">
        <v>19800</v>
      </c>
      <c r="K297" s="5">
        <v>46037</v>
      </c>
      <c r="L297" s="7">
        <v>46387</v>
      </c>
    </row>
    <row r="298" spans="1:12" hidden="1" x14ac:dyDescent="0.25">
      <c r="A298" s="4">
        <v>292</v>
      </c>
      <c r="B298" s="2" t="str">
        <f>HYPERLINK("https://my.zakupivli.pro/remote/dispatcher/state_purchase_view/65292736", "UA-2026-01-15-012548-a")</f>
        <v>UA-2026-01-15-012548-a</v>
      </c>
      <c r="C298" s="1" t="s">
        <v>1809</v>
      </c>
      <c r="D298" s="1" t="s">
        <v>1071</v>
      </c>
      <c r="E298" s="1" t="s">
        <v>1553</v>
      </c>
      <c r="F298" s="1" t="s">
        <v>87</v>
      </c>
      <c r="G298" s="1" t="s">
        <v>1772</v>
      </c>
      <c r="H298" s="1" t="s">
        <v>796</v>
      </c>
      <c r="I298" s="1" t="s">
        <v>224</v>
      </c>
      <c r="J298" s="6">
        <v>99344.54</v>
      </c>
      <c r="K298" s="5">
        <v>46036</v>
      </c>
      <c r="L298" s="7">
        <v>46387</v>
      </c>
    </row>
    <row r="299" spans="1:12" hidden="1" x14ac:dyDescent="0.25">
      <c r="A299" s="4">
        <v>293</v>
      </c>
      <c r="B299" s="2" t="str">
        <f>HYPERLINK("https://my.zakupivli.pro/remote/dispatcher/state_purchase_view/65257144", "UA-2026-01-14-011571-a")</f>
        <v>UA-2026-01-14-011571-a</v>
      </c>
      <c r="C299" s="1" t="s">
        <v>1996</v>
      </c>
      <c r="D299" s="1" t="s">
        <v>728</v>
      </c>
      <c r="E299" s="1" t="s">
        <v>1553</v>
      </c>
      <c r="F299" s="1" t="s">
        <v>87</v>
      </c>
      <c r="G299" s="1" t="s">
        <v>2165</v>
      </c>
      <c r="H299" s="1" t="s">
        <v>591</v>
      </c>
      <c r="I299" s="1" t="s">
        <v>135</v>
      </c>
      <c r="J299" s="6">
        <v>88648.320000000007</v>
      </c>
      <c r="K299" s="5">
        <v>46036</v>
      </c>
      <c r="L299" s="7">
        <v>46387</v>
      </c>
    </row>
    <row r="300" spans="1:12" hidden="1" x14ac:dyDescent="0.25">
      <c r="A300" s="4">
        <v>294</v>
      </c>
      <c r="B300" s="2" t="str">
        <f>HYPERLINK("https://my.zakupivli.pro/remote/dispatcher/state_purchase_view/65256802", "UA-2026-01-14-011484-a")</f>
        <v>UA-2026-01-14-011484-a</v>
      </c>
      <c r="C300" s="1" t="s">
        <v>1865</v>
      </c>
      <c r="D300" s="1" t="s">
        <v>1210</v>
      </c>
      <c r="E300" s="1" t="s">
        <v>1553</v>
      </c>
      <c r="F300" s="1" t="s">
        <v>87</v>
      </c>
      <c r="G300" s="1" t="s">
        <v>1370</v>
      </c>
      <c r="H300" s="1" t="s">
        <v>58</v>
      </c>
      <c r="I300" s="1" t="s">
        <v>427</v>
      </c>
      <c r="J300" s="6">
        <v>400000</v>
      </c>
      <c r="K300" s="5">
        <v>46036</v>
      </c>
      <c r="L300" s="7">
        <v>46387</v>
      </c>
    </row>
    <row r="301" spans="1:12" hidden="1" x14ac:dyDescent="0.25">
      <c r="A301" s="4">
        <v>295</v>
      </c>
      <c r="B301" s="2" t="str">
        <f>HYPERLINK("https://my.zakupivli.pro/remote/dispatcher/state_purchase_view/65254209", "UA-2026-01-14-010255-a")</f>
        <v>UA-2026-01-14-010255-a</v>
      </c>
      <c r="C301" s="1" t="s">
        <v>2215</v>
      </c>
      <c r="D301" s="1" t="s">
        <v>1325</v>
      </c>
      <c r="E301" s="1" t="s">
        <v>1553</v>
      </c>
      <c r="F301" s="1" t="s">
        <v>87</v>
      </c>
      <c r="G301" s="1" t="s">
        <v>1763</v>
      </c>
      <c r="H301" s="1" t="s">
        <v>107</v>
      </c>
      <c r="I301" s="1" t="s">
        <v>1354</v>
      </c>
      <c r="J301" s="6">
        <v>300337.65999999997</v>
      </c>
      <c r="K301" s="5">
        <v>46034</v>
      </c>
      <c r="L301" s="7">
        <v>46387</v>
      </c>
    </row>
    <row r="302" spans="1:12" hidden="1" x14ac:dyDescent="0.25">
      <c r="A302" s="4">
        <v>296</v>
      </c>
      <c r="B302" s="2" t="str">
        <f>HYPERLINK("https://my.zakupivli.pro/remote/dispatcher/state_purchase_view/65238608", "UA-2026-01-14-003583-a")</f>
        <v>UA-2026-01-14-003583-a</v>
      </c>
      <c r="C302" s="1" t="s">
        <v>2040</v>
      </c>
      <c r="D302" s="1" t="s">
        <v>496</v>
      </c>
      <c r="E302" s="1" t="s">
        <v>1553</v>
      </c>
      <c r="F302" s="1" t="s">
        <v>87</v>
      </c>
      <c r="G302" s="1" t="s">
        <v>2121</v>
      </c>
      <c r="H302" s="1" t="s">
        <v>675</v>
      </c>
      <c r="I302" s="1" t="s">
        <v>204</v>
      </c>
      <c r="J302" s="6">
        <v>4977</v>
      </c>
      <c r="K302" s="5">
        <v>46035</v>
      </c>
      <c r="L302" s="7">
        <v>46387</v>
      </c>
    </row>
    <row r="303" spans="1:12" hidden="1" x14ac:dyDescent="0.25">
      <c r="A303" s="4">
        <v>297</v>
      </c>
      <c r="B303" s="2" t="str">
        <f>HYPERLINK("https://my.zakupivli.pro/remote/dispatcher/state_purchase_view/65192548", "UA-2026-01-12-007980-a")</f>
        <v>UA-2026-01-12-007980-a</v>
      </c>
      <c r="C303" s="1" t="s">
        <v>1584</v>
      </c>
      <c r="D303" s="1" t="s">
        <v>478</v>
      </c>
      <c r="E303" s="1" t="s">
        <v>1553</v>
      </c>
      <c r="F303" s="1" t="s">
        <v>87</v>
      </c>
      <c r="G303" s="1" t="s">
        <v>1371</v>
      </c>
      <c r="H303" s="1" t="s">
        <v>60</v>
      </c>
      <c r="I303" s="1" t="s">
        <v>248</v>
      </c>
      <c r="J303" s="6">
        <v>867498.86</v>
      </c>
      <c r="K303" s="5">
        <v>46041</v>
      </c>
      <c r="L303" s="7">
        <v>46381</v>
      </c>
    </row>
    <row r="304" spans="1:12" hidden="1" x14ac:dyDescent="0.25">
      <c r="A304" s="4">
        <v>298</v>
      </c>
      <c r="B304" s="2" t="str">
        <f>HYPERLINK("https://my.zakupivli.pro/remote/dispatcher/state_purchase_view/65186824", "UA-2026-01-12-005629-a")</f>
        <v>UA-2026-01-12-005629-a</v>
      </c>
      <c r="C304" s="1" t="s">
        <v>1925</v>
      </c>
      <c r="D304" s="1" t="s">
        <v>1211</v>
      </c>
      <c r="E304" s="1" t="s">
        <v>1553</v>
      </c>
      <c r="F304" s="1" t="s">
        <v>87</v>
      </c>
      <c r="G304" s="1" t="s">
        <v>1760</v>
      </c>
      <c r="H304" s="1" t="s">
        <v>1019</v>
      </c>
      <c r="I304" s="1" t="s">
        <v>427</v>
      </c>
      <c r="J304" s="6">
        <v>24000</v>
      </c>
      <c r="K304" s="5">
        <v>46034</v>
      </c>
      <c r="L304" s="7">
        <v>46387</v>
      </c>
    </row>
    <row r="305" spans="1:12" hidden="1" x14ac:dyDescent="0.25">
      <c r="A305" s="4">
        <v>299</v>
      </c>
      <c r="B305" s="2" t="str">
        <f>HYPERLINK("https://my.zakupivli.pro/remote/dispatcher/state_purchase_view/65156851", "UA-2026-01-09-003039-a")</f>
        <v>UA-2026-01-09-003039-a</v>
      </c>
      <c r="C305" s="1" t="s">
        <v>1864</v>
      </c>
      <c r="D305" s="1" t="s">
        <v>1151</v>
      </c>
      <c r="E305" s="1" t="s">
        <v>1553</v>
      </c>
      <c r="F305" s="1" t="s">
        <v>87</v>
      </c>
      <c r="G305" s="1" t="s">
        <v>2106</v>
      </c>
      <c r="H305" s="1" t="s">
        <v>461</v>
      </c>
      <c r="I305" s="1" t="s">
        <v>172</v>
      </c>
      <c r="J305" s="6">
        <v>5691.06</v>
      </c>
      <c r="K305" s="5">
        <v>46031</v>
      </c>
      <c r="L305" s="7">
        <v>46387</v>
      </c>
    </row>
    <row r="306" spans="1:12" hidden="1" x14ac:dyDescent="0.25">
      <c r="A306" s="4">
        <v>300</v>
      </c>
      <c r="B306" s="2" t="str">
        <f>HYPERLINK("https://my.zakupivli.pro/remote/dispatcher/state_purchase_view/65156372", "UA-2026-01-09-002791-a")</f>
        <v>UA-2026-01-09-002791-a</v>
      </c>
      <c r="C306" s="1" t="s">
        <v>1944</v>
      </c>
      <c r="D306" s="1" t="s">
        <v>1327</v>
      </c>
      <c r="E306" s="1" t="s">
        <v>1553</v>
      </c>
      <c r="F306" s="1" t="s">
        <v>87</v>
      </c>
      <c r="G306" s="1" t="s">
        <v>1469</v>
      </c>
      <c r="H306" s="1" t="s">
        <v>96</v>
      </c>
      <c r="I306" s="1" t="s">
        <v>191</v>
      </c>
      <c r="J306" s="6">
        <v>48000</v>
      </c>
      <c r="K306" s="5">
        <v>46031</v>
      </c>
      <c r="L306" s="7">
        <v>46387</v>
      </c>
    </row>
    <row r="307" spans="1:12" hidden="1" x14ac:dyDescent="0.25">
      <c r="A307" s="4">
        <v>301</v>
      </c>
      <c r="B307" s="2" t="str">
        <f>HYPERLINK("https://my.zakupivli.pro/remote/dispatcher/state_purchase_view/65144264", "UA-2026-01-08-006470-a")</f>
        <v>UA-2026-01-08-006470-a</v>
      </c>
      <c r="C307" s="1" t="s">
        <v>1884</v>
      </c>
      <c r="D307" s="1" t="s">
        <v>1326</v>
      </c>
      <c r="E307" s="1" t="s">
        <v>1553</v>
      </c>
      <c r="F307" s="1" t="s">
        <v>87</v>
      </c>
      <c r="G307" s="1" t="s">
        <v>2141</v>
      </c>
      <c r="H307" s="1" t="s">
        <v>861</v>
      </c>
      <c r="I307" s="1" t="s">
        <v>929</v>
      </c>
      <c r="J307" s="6">
        <v>16485.22</v>
      </c>
      <c r="K307" s="5">
        <v>46030</v>
      </c>
      <c r="L307" s="7">
        <v>46387</v>
      </c>
    </row>
    <row r="308" spans="1:12" hidden="1" x14ac:dyDescent="0.25">
      <c r="A308" s="4">
        <v>302</v>
      </c>
      <c r="B308" s="2" t="str">
        <f>HYPERLINK("https://my.zakupivli.pro/remote/dispatcher/state_purchase_view/65143560", "UA-2026-01-08-006118-a")</f>
        <v>UA-2026-01-08-006118-a</v>
      </c>
      <c r="C308" s="1" t="s">
        <v>1830</v>
      </c>
      <c r="D308" s="1" t="s">
        <v>1292</v>
      </c>
      <c r="E308" s="1" t="s">
        <v>1553</v>
      </c>
      <c r="F308" s="1" t="s">
        <v>87</v>
      </c>
      <c r="G308" s="1" t="s">
        <v>2105</v>
      </c>
      <c r="H308" s="1" t="s">
        <v>781</v>
      </c>
      <c r="I308" s="1" t="s">
        <v>1322</v>
      </c>
      <c r="J308" s="6">
        <v>10800</v>
      </c>
      <c r="K308" s="5">
        <v>46030</v>
      </c>
      <c r="L308" s="7">
        <v>46387</v>
      </c>
    </row>
    <row r="309" spans="1:12" hidden="1" x14ac:dyDescent="0.25">
      <c r="A309" s="4">
        <v>303</v>
      </c>
      <c r="B309" s="2" t="str">
        <f>HYPERLINK("https://my.zakupivli.pro/remote/dispatcher/state_purchase_view/65142683", "UA-2026-01-08-005739-a")</f>
        <v>UA-2026-01-08-005739-a</v>
      </c>
      <c r="C309" s="1" t="s">
        <v>1905</v>
      </c>
      <c r="D309" s="1" t="s">
        <v>1292</v>
      </c>
      <c r="E309" s="1" t="s">
        <v>1553</v>
      </c>
      <c r="F309" s="1" t="s">
        <v>87</v>
      </c>
      <c r="G309" s="1" t="s">
        <v>2105</v>
      </c>
      <c r="H309" s="1" t="s">
        <v>781</v>
      </c>
      <c r="I309" s="1" t="s">
        <v>131</v>
      </c>
      <c r="J309" s="6">
        <v>12000</v>
      </c>
      <c r="K309" s="5">
        <v>46030</v>
      </c>
      <c r="L309" s="7">
        <v>46387</v>
      </c>
    </row>
    <row r="310" spans="1:12" hidden="1" x14ac:dyDescent="0.25">
      <c r="A310" s="4">
        <v>304</v>
      </c>
      <c r="B310" s="2" t="str">
        <f>HYPERLINK("https://my.zakupivli.pro/remote/dispatcher/state_purchase_view/65141758", "UA-2026-01-08-005348-a")</f>
        <v>UA-2026-01-08-005348-a</v>
      </c>
      <c r="C310" s="1" t="s">
        <v>1901</v>
      </c>
      <c r="D310" s="1" t="s">
        <v>1293</v>
      </c>
      <c r="E310" s="1" t="s">
        <v>1553</v>
      </c>
      <c r="F310" s="1" t="s">
        <v>87</v>
      </c>
      <c r="G310" s="1" t="s">
        <v>2105</v>
      </c>
      <c r="H310" s="1" t="s">
        <v>781</v>
      </c>
      <c r="I310" s="1" t="s">
        <v>1298</v>
      </c>
      <c r="J310" s="6">
        <v>5400</v>
      </c>
      <c r="K310" s="5">
        <v>46030</v>
      </c>
      <c r="L310" s="7">
        <v>46387</v>
      </c>
    </row>
    <row r="311" spans="1:12" hidden="1" x14ac:dyDescent="0.25">
      <c r="A311" s="4">
        <v>305</v>
      </c>
      <c r="B311" s="2" t="str">
        <f>HYPERLINK("https://my.zakupivli.pro/remote/dispatcher/state_purchase_view/65140974", "UA-2026-01-08-005015-a")</f>
        <v>UA-2026-01-08-005015-a</v>
      </c>
      <c r="C311" s="1" t="s">
        <v>1902</v>
      </c>
      <c r="D311" s="1" t="s">
        <v>1292</v>
      </c>
      <c r="E311" s="1" t="s">
        <v>1553</v>
      </c>
      <c r="F311" s="1" t="s">
        <v>87</v>
      </c>
      <c r="G311" s="1" t="s">
        <v>2166</v>
      </c>
      <c r="H311" s="1" t="s">
        <v>835</v>
      </c>
      <c r="I311" s="1" t="s">
        <v>1805</v>
      </c>
      <c r="J311" s="6">
        <v>39144</v>
      </c>
      <c r="K311" s="5">
        <v>46030</v>
      </c>
      <c r="L311" s="7">
        <v>46387</v>
      </c>
    </row>
    <row r="312" spans="1:12" hidden="1" x14ac:dyDescent="0.25">
      <c r="A312" s="4">
        <v>306</v>
      </c>
      <c r="B312" s="2" t="str">
        <f>HYPERLINK("https://my.zakupivli.pro/remote/dispatcher/state_purchase_view/65136868", "UA-2026-01-08-003183-a")</f>
        <v>UA-2026-01-08-003183-a</v>
      </c>
      <c r="C312" s="1" t="s">
        <v>2198</v>
      </c>
      <c r="D312" s="1" t="s">
        <v>1141</v>
      </c>
      <c r="E312" s="1" t="s">
        <v>1553</v>
      </c>
      <c r="F312" s="1" t="s">
        <v>87</v>
      </c>
      <c r="G312" s="1" t="s">
        <v>2136</v>
      </c>
      <c r="H312" s="1" t="s">
        <v>814</v>
      </c>
      <c r="I312" s="1" t="s">
        <v>1131</v>
      </c>
      <c r="J312" s="6">
        <v>99000</v>
      </c>
      <c r="K312" s="5">
        <v>46030</v>
      </c>
      <c r="L312" s="7">
        <v>46387</v>
      </c>
    </row>
    <row r="313" spans="1:12" hidden="1" x14ac:dyDescent="0.25">
      <c r="A313" s="4">
        <v>307</v>
      </c>
      <c r="B313" s="2" t="str">
        <f>HYPERLINK("https://my.zakupivli.pro/remote/dispatcher/state_purchase_view/65135920", "UA-2026-01-08-002775-a")</f>
        <v>UA-2026-01-08-002775-a</v>
      </c>
      <c r="C313" s="1" t="s">
        <v>1611</v>
      </c>
      <c r="D313" s="1" t="s">
        <v>1198</v>
      </c>
      <c r="E313" s="1" t="s">
        <v>1553</v>
      </c>
      <c r="F313" s="1" t="s">
        <v>87</v>
      </c>
      <c r="G313" s="1" t="s">
        <v>1766</v>
      </c>
      <c r="H313" s="1" t="s">
        <v>77</v>
      </c>
      <c r="I313" s="1" t="s">
        <v>186</v>
      </c>
      <c r="J313" s="6">
        <v>10000</v>
      </c>
      <c r="K313" s="5">
        <v>46030</v>
      </c>
      <c r="L313" s="7">
        <v>46387</v>
      </c>
    </row>
    <row r="314" spans="1:12" hidden="1" x14ac:dyDescent="0.25">
      <c r="A314" s="4">
        <v>308</v>
      </c>
      <c r="B314" s="2" t="str">
        <f>HYPERLINK("https://my.zakupivli.pro/remote/dispatcher/state_purchase_view/65135372", "UA-2026-01-08-002536-a")</f>
        <v>UA-2026-01-08-002536-a</v>
      </c>
      <c r="C314" s="1" t="s">
        <v>1842</v>
      </c>
      <c r="D314" s="1" t="s">
        <v>1138</v>
      </c>
      <c r="E314" s="1" t="s">
        <v>1553</v>
      </c>
      <c r="F314" s="1" t="s">
        <v>87</v>
      </c>
      <c r="G314" s="1" t="s">
        <v>1478</v>
      </c>
      <c r="H314" s="1" t="s">
        <v>613</v>
      </c>
      <c r="I314" s="1" t="s">
        <v>1187</v>
      </c>
      <c r="J314" s="6">
        <v>54570</v>
      </c>
      <c r="K314" s="5">
        <v>46030</v>
      </c>
      <c r="L314" s="7">
        <v>46387</v>
      </c>
    </row>
    <row r="315" spans="1:12" hidden="1" x14ac:dyDescent="0.25">
      <c r="A315" s="4">
        <v>309</v>
      </c>
      <c r="B315" s="2" t="str">
        <f>HYPERLINK("https://my.zakupivli.pro/remote/dispatcher/state_purchase_view/65134912", "UA-2026-01-08-002342-a")</f>
        <v>UA-2026-01-08-002342-a</v>
      </c>
      <c r="C315" s="1" t="s">
        <v>1828</v>
      </c>
      <c r="D315" s="1" t="s">
        <v>1196</v>
      </c>
      <c r="E315" s="1" t="s">
        <v>1553</v>
      </c>
      <c r="F315" s="1" t="s">
        <v>87</v>
      </c>
      <c r="G315" s="1" t="s">
        <v>1478</v>
      </c>
      <c r="H315" s="1" t="s">
        <v>613</v>
      </c>
      <c r="I315" s="1" t="s">
        <v>1237</v>
      </c>
      <c r="J315" s="6">
        <v>62680</v>
      </c>
      <c r="K315" s="5">
        <v>46030</v>
      </c>
      <c r="L315" s="7">
        <v>46387</v>
      </c>
    </row>
    <row r="316" spans="1:12" hidden="1" x14ac:dyDescent="0.25">
      <c r="A316" s="4">
        <v>310</v>
      </c>
      <c r="B316" s="2" t="str">
        <f>HYPERLINK("https://my.zakupivli.pro/remote/dispatcher/state_purchase_view/65134408", "UA-2026-01-08-002102-a")</f>
        <v>UA-2026-01-08-002102-a</v>
      </c>
      <c r="C316" s="1" t="s">
        <v>1943</v>
      </c>
      <c r="D316" s="1" t="s">
        <v>1330</v>
      </c>
      <c r="E316" s="1" t="s">
        <v>1553</v>
      </c>
      <c r="F316" s="1" t="s">
        <v>87</v>
      </c>
      <c r="G316" s="1" t="s">
        <v>2278</v>
      </c>
      <c r="H316" s="1" t="s">
        <v>353</v>
      </c>
      <c r="I316" s="1" t="s">
        <v>931</v>
      </c>
      <c r="J316" s="6">
        <v>27061.68</v>
      </c>
      <c r="K316" s="5">
        <v>46030</v>
      </c>
      <c r="L316" s="7">
        <v>46387</v>
      </c>
    </row>
    <row r="317" spans="1:12" hidden="1" x14ac:dyDescent="0.25">
      <c r="A317" s="4">
        <v>311</v>
      </c>
      <c r="B317" s="2" t="str">
        <f>HYPERLINK("https://my.zakupivli.pro/remote/dispatcher/state_purchase_view/65126230", "UA-2026-01-07-006784-a")</f>
        <v>UA-2026-01-07-006784-a</v>
      </c>
      <c r="C317" s="1" t="s">
        <v>2050</v>
      </c>
      <c r="D317" s="1" t="s">
        <v>881</v>
      </c>
      <c r="E317" s="1" t="s">
        <v>1553</v>
      </c>
      <c r="F317" s="1" t="s">
        <v>87</v>
      </c>
      <c r="G317" s="1" t="s">
        <v>1635</v>
      </c>
      <c r="H317" s="1" t="s">
        <v>525</v>
      </c>
      <c r="I317" s="1" t="s">
        <v>592</v>
      </c>
      <c r="J317" s="6">
        <v>7820</v>
      </c>
      <c r="K317" s="5">
        <v>46029</v>
      </c>
      <c r="L317" s="7">
        <v>46387</v>
      </c>
    </row>
    <row r="318" spans="1:12" hidden="1" x14ac:dyDescent="0.25">
      <c r="A318" s="4">
        <v>312</v>
      </c>
      <c r="B318" s="2" t="str">
        <f>HYPERLINK("https://my.zakupivli.pro/remote/dispatcher/state_purchase_view/65125526", "UA-2026-01-07-006452-a")</f>
        <v>UA-2026-01-07-006452-a</v>
      </c>
      <c r="C318" s="1" t="s">
        <v>1862</v>
      </c>
      <c r="D318" s="1" t="s">
        <v>1154</v>
      </c>
      <c r="E318" s="1" t="s">
        <v>1553</v>
      </c>
      <c r="F318" s="1" t="s">
        <v>87</v>
      </c>
      <c r="G318" s="1" t="s">
        <v>2015</v>
      </c>
      <c r="H318" s="1" t="s">
        <v>505</v>
      </c>
      <c r="I318" s="1" t="s">
        <v>581</v>
      </c>
      <c r="J318" s="6">
        <v>31540</v>
      </c>
      <c r="K318" s="5">
        <v>46029</v>
      </c>
      <c r="L318" s="7">
        <v>46387</v>
      </c>
    </row>
    <row r="319" spans="1:12" hidden="1" x14ac:dyDescent="0.25">
      <c r="A319" s="4">
        <v>313</v>
      </c>
      <c r="B319" s="2" t="str">
        <f>HYPERLINK("https://my.zakupivli.pro/remote/dispatcher/state_purchase_view/65124472", "UA-2026-01-07-005985-a")</f>
        <v>UA-2026-01-07-005985-a</v>
      </c>
      <c r="C319" s="1" t="s">
        <v>1545</v>
      </c>
      <c r="D319" s="1" t="s">
        <v>1063</v>
      </c>
      <c r="E319" s="1" t="s">
        <v>1553</v>
      </c>
      <c r="F319" s="1" t="s">
        <v>87</v>
      </c>
      <c r="G319" s="1" t="s">
        <v>2015</v>
      </c>
      <c r="H319" s="1" t="s">
        <v>505</v>
      </c>
      <c r="I319" s="1" t="s">
        <v>355</v>
      </c>
      <c r="J319" s="6">
        <v>49939</v>
      </c>
      <c r="K319" s="5">
        <v>46029</v>
      </c>
      <c r="L319" s="7">
        <v>46387</v>
      </c>
    </row>
    <row r="320" spans="1:12" hidden="1" x14ac:dyDescent="0.25">
      <c r="A320" s="4">
        <v>314</v>
      </c>
      <c r="B320" s="2" t="str">
        <f>HYPERLINK("https://my.zakupivli.pro/remote/dispatcher/state_purchase_view/65123648", "UA-2026-01-07-005610-a")</f>
        <v>UA-2026-01-07-005610-a</v>
      </c>
      <c r="C320" s="1" t="s">
        <v>1892</v>
      </c>
      <c r="D320" s="1" t="s">
        <v>1148</v>
      </c>
      <c r="E320" s="1" t="s">
        <v>1553</v>
      </c>
      <c r="F320" s="1" t="s">
        <v>87</v>
      </c>
      <c r="G320" s="1" t="s">
        <v>1762</v>
      </c>
      <c r="H320" s="1" t="s">
        <v>821</v>
      </c>
      <c r="I320" s="1" t="s">
        <v>474</v>
      </c>
      <c r="J320" s="6">
        <v>7200</v>
      </c>
      <c r="K320" s="5">
        <v>46029</v>
      </c>
      <c r="L320" s="7">
        <v>46387</v>
      </c>
    </row>
    <row r="321" spans="1:12" hidden="1" x14ac:dyDescent="0.25">
      <c r="A321" s="4">
        <v>315</v>
      </c>
      <c r="B321" s="2" t="str">
        <f>HYPERLINK("https://my.zakupivli.pro/remote/dispatcher/state_purchase_view/65123086", "UA-2026-01-07-005350-a")</f>
        <v>UA-2026-01-07-005350-a</v>
      </c>
      <c r="C321" s="1" t="s">
        <v>1881</v>
      </c>
      <c r="D321" s="1" t="s">
        <v>1276</v>
      </c>
      <c r="E321" s="1" t="s">
        <v>1553</v>
      </c>
      <c r="F321" s="1" t="s">
        <v>87</v>
      </c>
      <c r="G321" s="1" t="s">
        <v>1762</v>
      </c>
      <c r="H321" s="1" t="s">
        <v>821</v>
      </c>
      <c r="I321" s="1" t="s">
        <v>470</v>
      </c>
      <c r="J321" s="6">
        <v>58440</v>
      </c>
      <c r="K321" s="5">
        <v>46029</v>
      </c>
      <c r="L321" s="7">
        <v>46387</v>
      </c>
    </row>
    <row r="322" spans="1:12" hidden="1" x14ac:dyDescent="0.25">
      <c r="A322" s="4">
        <v>316</v>
      </c>
      <c r="B322" s="2" t="str">
        <f>HYPERLINK("https://my.zakupivli.pro/remote/dispatcher/state_purchase_view/65122350", "UA-2026-01-07-005011-a")</f>
        <v>UA-2026-01-07-005011-a</v>
      </c>
      <c r="C322" s="1" t="s">
        <v>1891</v>
      </c>
      <c r="D322" s="1" t="s">
        <v>1148</v>
      </c>
      <c r="E322" s="1" t="s">
        <v>1553</v>
      </c>
      <c r="F322" s="1" t="s">
        <v>87</v>
      </c>
      <c r="G322" s="1" t="s">
        <v>1762</v>
      </c>
      <c r="H322" s="1" t="s">
        <v>821</v>
      </c>
      <c r="I322" s="1" t="s">
        <v>472</v>
      </c>
      <c r="J322" s="6">
        <v>58440</v>
      </c>
      <c r="K322" s="5">
        <v>46029</v>
      </c>
      <c r="L322" s="7">
        <v>46387</v>
      </c>
    </row>
    <row r="323" spans="1:12" hidden="1" x14ac:dyDescent="0.25">
      <c r="A323" s="4">
        <v>317</v>
      </c>
      <c r="B323" s="2" t="str">
        <f>HYPERLINK("https://my.zakupivli.pro/remote/dispatcher/state_purchase_view/65098577", "UA-2026-01-06-002034-a")</f>
        <v>UA-2026-01-06-002034-a</v>
      </c>
      <c r="C323" s="1" t="s">
        <v>1826</v>
      </c>
      <c r="D323" s="1" t="s">
        <v>1261</v>
      </c>
      <c r="E323" s="1" t="s">
        <v>1553</v>
      </c>
      <c r="F323" s="1" t="s">
        <v>87</v>
      </c>
      <c r="G323" s="1" t="s">
        <v>2164</v>
      </c>
      <c r="H323" s="1" t="s">
        <v>808</v>
      </c>
      <c r="I323" s="1" t="s">
        <v>1757</v>
      </c>
      <c r="J323" s="6">
        <v>462</v>
      </c>
      <c r="K323" s="5">
        <v>46028</v>
      </c>
      <c r="L323" s="7">
        <v>46387</v>
      </c>
    </row>
    <row r="324" spans="1:12" hidden="1" x14ac:dyDescent="0.25">
      <c r="A324" s="4">
        <v>318</v>
      </c>
      <c r="B324" s="2" t="str">
        <f>HYPERLINK("https://my.zakupivli.pro/remote/dispatcher/state_purchase_view/65098213", "UA-2026-01-06-001877-a")</f>
        <v>UA-2026-01-06-001877-a</v>
      </c>
      <c r="C324" s="1" t="s">
        <v>1921</v>
      </c>
      <c r="D324" s="1" t="s">
        <v>1313</v>
      </c>
      <c r="E324" s="1" t="s">
        <v>1553</v>
      </c>
      <c r="F324" s="1" t="s">
        <v>87</v>
      </c>
      <c r="G324" s="1" t="s">
        <v>1557</v>
      </c>
      <c r="H324" s="1" t="s">
        <v>84</v>
      </c>
      <c r="I324" s="1" t="s">
        <v>129</v>
      </c>
      <c r="J324" s="6">
        <v>70000</v>
      </c>
      <c r="K324" s="5">
        <v>46028</v>
      </c>
      <c r="L324" s="7">
        <v>46387</v>
      </c>
    </row>
    <row r="325" spans="1:12" hidden="1" x14ac:dyDescent="0.25">
      <c r="A325" s="4">
        <v>319</v>
      </c>
      <c r="B325" s="2" t="str">
        <f>HYPERLINK("https://my.zakupivli.pro/remote/dispatcher/state_purchase_view/65097338", "UA-2026-01-06-001464-a")</f>
        <v>UA-2026-01-06-001464-a</v>
      </c>
      <c r="C325" s="1" t="s">
        <v>1914</v>
      </c>
      <c r="D325" s="1" t="s">
        <v>1266</v>
      </c>
      <c r="E325" s="1" t="s">
        <v>1553</v>
      </c>
      <c r="F325" s="1" t="s">
        <v>87</v>
      </c>
      <c r="G325" s="1" t="s">
        <v>1689</v>
      </c>
      <c r="H325" s="1" t="s">
        <v>398</v>
      </c>
      <c r="I325" s="1" t="s">
        <v>1153</v>
      </c>
      <c r="J325" s="6">
        <v>39600</v>
      </c>
      <c r="K325" s="5">
        <v>46028</v>
      </c>
      <c r="L325" s="7">
        <v>46387</v>
      </c>
    </row>
    <row r="326" spans="1:12" hidden="1" x14ac:dyDescent="0.25">
      <c r="A326" s="4">
        <v>320</v>
      </c>
      <c r="B326" s="2" t="str">
        <f>HYPERLINK("https://my.zakupivli.pro/remote/dispatcher/state_purchase_view/65046340", "UA-2025-12-31-003788-a")</f>
        <v>UA-2025-12-31-003788-a</v>
      </c>
      <c r="C326" s="1" t="s">
        <v>2046</v>
      </c>
      <c r="D326" s="1" t="s">
        <v>1178</v>
      </c>
      <c r="E326" s="1" t="s">
        <v>1553</v>
      </c>
      <c r="F326" s="1" t="s">
        <v>87</v>
      </c>
      <c r="G326" s="1" t="s">
        <v>2109</v>
      </c>
      <c r="H326" s="1" t="s">
        <v>1080</v>
      </c>
      <c r="I326" s="1" t="s">
        <v>271</v>
      </c>
      <c r="J326" s="6">
        <v>19548000</v>
      </c>
      <c r="K326" s="5">
        <v>46042</v>
      </c>
      <c r="L326" s="7">
        <v>46387</v>
      </c>
    </row>
    <row r="327" spans="1:12" hidden="1" x14ac:dyDescent="0.25">
      <c r="A327" s="4">
        <v>321</v>
      </c>
      <c r="B327" s="2" t="str">
        <f>HYPERLINK("https://my.zakupivli.pro/remote/dispatcher/state_purchase_view/65041407", "UA-2025-12-31-001435-a")</f>
        <v>UA-2025-12-31-001435-a</v>
      </c>
      <c r="C327" s="1" t="s">
        <v>1571</v>
      </c>
      <c r="D327" s="1" t="s">
        <v>1006</v>
      </c>
      <c r="E327" s="1" t="s">
        <v>1553</v>
      </c>
      <c r="F327" s="1" t="s">
        <v>87</v>
      </c>
      <c r="G327" s="1" t="s">
        <v>1623</v>
      </c>
      <c r="H327" s="1" t="s">
        <v>579</v>
      </c>
      <c r="I327" s="1" t="s">
        <v>1128</v>
      </c>
      <c r="J327" s="6">
        <v>33677.440000000002</v>
      </c>
      <c r="K327" s="5">
        <v>46020</v>
      </c>
      <c r="L327" s="7">
        <v>46022</v>
      </c>
    </row>
    <row r="328" spans="1:12" hidden="1" x14ac:dyDescent="0.25">
      <c r="A328" s="4">
        <v>322</v>
      </c>
      <c r="B328" s="2" t="str">
        <f>HYPERLINK("https://my.zakupivli.pro/remote/dispatcher/state_purchase_view/65041085", "UA-2025-12-31-001280-a")</f>
        <v>UA-2025-12-31-001280-a</v>
      </c>
      <c r="C328" s="1" t="s">
        <v>1527</v>
      </c>
      <c r="D328" s="1" t="s">
        <v>627</v>
      </c>
      <c r="E328" s="1" t="s">
        <v>1553</v>
      </c>
      <c r="F328" s="1" t="s">
        <v>87</v>
      </c>
      <c r="G328" s="1" t="s">
        <v>1623</v>
      </c>
      <c r="H328" s="1" t="s">
        <v>579</v>
      </c>
      <c r="I328" s="1" t="s">
        <v>1127</v>
      </c>
      <c r="J328" s="6">
        <v>10265</v>
      </c>
      <c r="K328" s="5">
        <v>46020</v>
      </c>
      <c r="L328" s="7">
        <v>46022</v>
      </c>
    </row>
    <row r="329" spans="1:12" hidden="1" x14ac:dyDescent="0.25">
      <c r="A329" s="4">
        <v>323</v>
      </c>
      <c r="B329" s="2" t="str">
        <f>HYPERLINK("https://my.zakupivli.pro/remote/dispatcher/state_purchase_view/65013496", "UA-2025-12-29-012042-a")</f>
        <v>UA-2025-12-29-012042-a</v>
      </c>
      <c r="C329" s="1" t="s">
        <v>2045</v>
      </c>
      <c r="D329" s="1" t="s">
        <v>1178</v>
      </c>
      <c r="E329" s="1" t="s">
        <v>1553</v>
      </c>
      <c r="F329" s="1" t="s">
        <v>87</v>
      </c>
      <c r="G329" s="1"/>
      <c r="H329" s="1"/>
      <c r="I329" s="1"/>
      <c r="J329" s="1"/>
      <c r="K329" s="1" t="s">
        <v>53</v>
      </c>
      <c r="L329" s="1"/>
    </row>
    <row r="330" spans="1:12" hidden="1" x14ac:dyDescent="0.25">
      <c r="A330" s="4">
        <v>324</v>
      </c>
      <c r="B330" s="2" t="str">
        <f>HYPERLINK("https://my.zakupivli.pro/remote/dispatcher/state_purchase_view/64968488", "UA-2025-12-26-012435-a")</f>
        <v>UA-2025-12-26-012435-a</v>
      </c>
      <c r="C330" s="1" t="s">
        <v>1956</v>
      </c>
      <c r="D330" s="1" t="s">
        <v>925</v>
      </c>
      <c r="E330" s="1" t="s">
        <v>1553</v>
      </c>
      <c r="F330" s="1" t="s">
        <v>87</v>
      </c>
      <c r="G330" s="1" t="s">
        <v>1426</v>
      </c>
      <c r="H330" s="1" t="s">
        <v>550</v>
      </c>
      <c r="I330" s="1" t="s">
        <v>1124</v>
      </c>
      <c r="J330" s="6">
        <v>84216</v>
      </c>
      <c r="K330" s="5">
        <v>46017</v>
      </c>
      <c r="L330" s="7">
        <v>46022</v>
      </c>
    </row>
    <row r="331" spans="1:12" hidden="1" x14ac:dyDescent="0.25">
      <c r="A331" s="4">
        <v>325</v>
      </c>
      <c r="B331" s="2" t="str">
        <f>HYPERLINK("https://my.zakupivli.pro/remote/dispatcher/state_purchase_view/64930915", "UA-2025-12-25-011012-a")</f>
        <v>UA-2025-12-25-011012-a</v>
      </c>
      <c r="C331" s="1" t="s">
        <v>1537</v>
      </c>
      <c r="D331" s="1" t="s">
        <v>769</v>
      </c>
      <c r="E331" s="1" t="s">
        <v>1553</v>
      </c>
      <c r="F331" s="1" t="s">
        <v>87</v>
      </c>
      <c r="G331" s="1" t="s">
        <v>2016</v>
      </c>
      <c r="H331" s="1" t="s">
        <v>462</v>
      </c>
      <c r="I331" s="1" t="s">
        <v>392</v>
      </c>
      <c r="J331" s="6">
        <v>11200</v>
      </c>
      <c r="K331" s="5">
        <v>46014</v>
      </c>
      <c r="L331" s="7">
        <v>46022</v>
      </c>
    </row>
    <row r="332" spans="1:12" hidden="1" x14ac:dyDescent="0.25">
      <c r="A332" s="4">
        <v>326</v>
      </c>
      <c r="B332" s="2" t="str">
        <f>HYPERLINK("https://my.zakupivli.pro/remote/dispatcher/state_purchase_view/64930444", "UA-2025-12-25-010825-a")</f>
        <v>UA-2025-12-25-010825-a</v>
      </c>
      <c r="C332" s="1" t="s">
        <v>1589</v>
      </c>
      <c r="D332" s="1" t="s">
        <v>493</v>
      </c>
      <c r="E332" s="1" t="s">
        <v>1553</v>
      </c>
      <c r="F332" s="1" t="s">
        <v>87</v>
      </c>
      <c r="G332" s="1" t="s">
        <v>1644</v>
      </c>
      <c r="H332" s="1" t="s">
        <v>324</v>
      </c>
      <c r="I332" s="1" t="s">
        <v>1121</v>
      </c>
      <c r="J332" s="6">
        <v>1680</v>
      </c>
      <c r="K332" s="5">
        <v>46016</v>
      </c>
      <c r="L332" s="7">
        <v>46022</v>
      </c>
    </row>
    <row r="333" spans="1:12" hidden="1" x14ac:dyDescent="0.25">
      <c r="A333" s="4">
        <v>327</v>
      </c>
      <c r="B333" s="2" t="str">
        <f>HYPERLINK("https://my.zakupivli.pro/remote/dispatcher/state_purchase_view/64928322", "UA-2025-12-25-009765-a")</f>
        <v>UA-2025-12-25-009765-a</v>
      </c>
      <c r="C333" s="1" t="s">
        <v>1490</v>
      </c>
      <c r="D333" s="1" t="s">
        <v>1116</v>
      </c>
      <c r="E333" s="1" t="s">
        <v>1553</v>
      </c>
      <c r="F333" s="1" t="s">
        <v>87</v>
      </c>
      <c r="G333" s="1" t="s">
        <v>2174</v>
      </c>
      <c r="H333" s="1" t="s">
        <v>1037</v>
      </c>
      <c r="I333" s="1" t="s">
        <v>376</v>
      </c>
      <c r="J333" s="6">
        <v>1684800</v>
      </c>
      <c r="K333" s="5">
        <v>46023</v>
      </c>
      <c r="L333" s="7">
        <v>46387</v>
      </c>
    </row>
    <row r="334" spans="1:12" hidden="1" x14ac:dyDescent="0.25">
      <c r="A334" s="4">
        <v>328</v>
      </c>
      <c r="B334" s="2" t="str">
        <f>HYPERLINK("https://my.zakupivli.pro/remote/dispatcher/state_purchase_view/64899056", "UA-2025-12-24-016817-a")</f>
        <v>UA-2025-12-24-016817-a</v>
      </c>
      <c r="C334" s="1" t="s">
        <v>1914</v>
      </c>
      <c r="D334" s="1" t="s">
        <v>1266</v>
      </c>
      <c r="E334" s="1" t="s">
        <v>1553</v>
      </c>
      <c r="F334" s="1" t="s">
        <v>87</v>
      </c>
      <c r="G334" s="1" t="s">
        <v>1768</v>
      </c>
      <c r="H334" s="1" t="s">
        <v>238</v>
      </c>
      <c r="I334" s="1" t="s">
        <v>577</v>
      </c>
      <c r="J334" s="6">
        <v>42000</v>
      </c>
      <c r="K334" s="5">
        <v>46023</v>
      </c>
      <c r="L334" s="7">
        <v>46387</v>
      </c>
    </row>
    <row r="335" spans="1:12" hidden="1" x14ac:dyDescent="0.25">
      <c r="A335" s="4">
        <v>329</v>
      </c>
      <c r="B335" s="2" t="str">
        <f>HYPERLINK("https://my.zakupivli.pro/remote/dispatcher/state_purchase_view/64855459", "UA-2025-12-23-021358-a")</f>
        <v>UA-2025-12-23-021358-a</v>
      </c>
      <c r="C335" s="1" t="s">
        <v>1506</v>
      </c>
      <c r="D335" s="1" t="s">
        <v>127</v>
      </c>
      <c r="E335" s="1" t="s">
        <v>1553</v>
      </c>
      <c r="F335" s="1" t="s">
        <v>87</v>
      </c>
      <c r="G335" s="1" t="s">
        <v>2151</v>
      </c>
      <c r="H335" s="1" t="s">
        <v>993</v>
      </c>
      <c r="I335" s="1" t="s">
        <v>205</v>
      </c>
      <c r="J335" s="6">
        <v>17483670.530000001</v>
      </c>
      <c r="K335" s="5">
        <v>46035</v>
      </c>
      <c r="L335" s="7">
        <v>46387</v>
      </c>
    </row>
    <row r="336" spans="1:12" hidden="1" x14ac:dyDescent="0.25">
      <c r="A336" s="4">
        <v>330</v>
      </c>
      <c r="B336" s="2" t="str">
        <f>HYPERLINK("https://my.zakupivli.pro/remote/dispatcher/state_purchase_view/64822764", "UA-2025-12-23-007039-a")</f>
        <v>UA-2025-12-23-007039-a</v>
      </c>
      <c r="C336" s="1" t="s">
        <v>2042</v>
      </c>
      <c r="D336" s="1" t="s">
        <v>1178</v>
      </c>
      <c r="E336" s="1" t="s">
        <v>1553</v>
      </c>
      <c r="F336" s="1" t="s">
        <v>87</v>
      </c>
      <c r="G336" s="1" t="s">
        <v>2109</v>
      </c>
      <c r="H336" s="1" t="s">
        <v>1080</v>
      </c>
      <c r="I336" s="1" t="s">
        <v>1113</v>
      </c>
      <c r="J336" s="6">
        <v>1099920</v>
      </c>
      <c r="K336" s="5">
        <v>46014</v>
      </c>
      <c r="L336" s="7">
        <v>46107</v>
      </c>
    </row>
    <row r="337" spans="1:12" hidden="1" x14ac:dyDescent="0.25">
      <c r="A337" s="4">
        <v>331</v>
      </c>
      <c r="B337" s="2" t="str">
        <f>HYPERLINK("https://my.zakupivli.pro/remote/dispatcher/state_purchase_view/64790370", "UA-2025-12-22-017812-a")</f>
        <v>UA-2025-12-22-017812-a</v>
      </c>
      <c r="C337" s="1" t="s">
        <v>1802</v>
      </c>
      <c r="D337" s="1" t="s">
        <v>348</v>
      </c>
      <c r="E337" s="1" t="s">
        <v>1553</v>
      </c>
      <c r="F337" s="1" t="s">
        <v>87</v>
      </c>
      <c r="G337" s="1" t="s">
        <v>2121</v>
      </c>
      <c r="H337" s="1" t="s">
        <v>675</v>
      </c>
      <c r="I337" s="1" t="s">
        <v>1110</v>
      </c>
      <c r="J337" s="6">
        <v>2154</v>
      </c>
      <c r="K337" s="5">
        <v>46010</v>
      </c>
      <c r="L337" s="7">
        <v>46022</v>
      </c>
    </row>
    <row r="338" spans="1:12" hidden="1" x14ac:dyDescent="0.25">
      <c r="A338" s="4">
        <v>332</v>
      </c>
      <c r="B338" s="2" t="str">
        <f>HYPERLINK("https://my.zakupivli.pro/remote/dispatcher/state_purchase_view/64785706", "UA-2025-12-22-015896-a")</f>
        <v>UA-2025-12-22-015896-a</v>
      </c>
      <c r="C338" s="1" t="s">
        <v>1781</v>
      </c>
      <c r="D338" s="1" t="s">
        <v>1115</v>
      </c>
      <c r="E338" s="1" t="s">
        <v>1553</v>
      </c>
      <c r="F338" s="1" t="s">
        <v>87</v>
      </c>
      <c r="G338" s="1" t="s">
        <v>2161</v>
      </c>
      <c r="H338" s="1" t="s">
        <v>1051</v>
      </c>
      <c r="I338" s="1" t="s">
        <v>375</v>
      </c>
      <c r="J338" s="6">
        <v>54665.279999999999</v>
      </c>
      <c r="K338" s="5">
        <v>46008</v>
      </c>
      <c r="L338" s="7">
        <v>46022</v>
      </c>
    </row>
    <row r="339" spans="1:12" hidden="1" x14ac:dyDescent="0.25">
      <c r="A339" s="4">
        <v>333</v>
      </c>
      <c r="B339" s="2" t="str">
        <f>HYPERLINK("https://my.zakupivli.pro/remote/dispatcher/state_purchase_view/64783927", "UA-2025-12-22-015214-a")</f>
        <v>UA-2025-12-22-015214-a</v>
      </c>
      <c r="C339" s="1" t="s">
        <v>1415</v>
      </c>
      <c r="D339" s="1" t="s">
        <v>976</v>
      </c>
      <c r="E339" s="1" t="s">
        <v>1553</v>
      </c>
      <c r="F339" s="1" t="s">
        <v>87</v>
      </c>
      <c r="G339" s="1" t="s">
        <v>2126</v>
      </c>
      <c r="H339" s="1" t="s">
        <v>694</v>
      </c>
      <c r="I339" s="1" t="s">
        <v>1111</v>
      </c>
      <c r="J339" s="6">
        <v>2856.9</v>
      </c>
      <c r="K339" s="5">
        <v>46013</v>
      </c>
      <c r="L339" s="7">
        <v>46022</v>
      </c>
    </row>
    <row r="340" spans="1:12" hidden="1" x14ac:dyDescent="0.25">
      <c r="A340" s="4">
        <v>334</v>
      </c>
      <c r="B340" s="2" t="str">
        <f>HYPERLINK("https://my.zakupivli.pro/remote/dispatcher/state_purchase_view/64726471", "UA-2025-12-19-019448-a")</f>
        <v>UA-2025-12-19-019448-a</v>
      </c>
      <c r="C340" s="1" t="s">
        <v>1495</v>
      </c>
      <c r="D340" s="1" t="s">
        <v>431</v>
      </c>
      <c r="E340" s="1" t="s">
        <v>1553</v>
      </c>
      <c r="F340" s="1" t="s">
        <v>87</v>
      </c>
      <c r="G340" s="1" t="s">
        <v>2018</v>
      </c>
      <c r="H340" s="1" t="s">
        <v>611</v>
      </c>
      <c r="I340" s="1" t="s">
        <v>1108</v>
      </c>
      <c r="J340" s="6">
        <v>1380</v>
      </c>
      <c r="K340" s="5">
        <v>46010</v>
      </c>
      <c r="L340" s="7">
        <v>46022</v>
      </c>
    </row>
    <row r="341" spans="1:12" hidden="1" x14ac:dyDescent="0.25">
      <c r="A341" s="4">
        <v>335</v>
      </c>
      <c r="B341" s="2" t="str">
        <f>HYPERLINK("https://my.zakupivli.pro/remote/dispatcher/state_purchase_view/64672669", "UA-2025-12-18-021383-a")</f>
        <v>UA-2025-12-18-021383-a</v>
      </c>
      <c r="C341" s="1" t="s">
        <v>1930</v>
      </c>
      <c r="D341" s="1" t="s">
        <v>1345</v>
      </c>
      <c r="E341" s="1" t="s">
        <v>1553</v>
      </c>
      <c r="F341" s="1" t="s">
        <v>87</v>
      </c>
      <c r="G341" s="1" t="s">
        <v>1558</v>
      </c>
      <c r="H341" s="1" t="s">
        <v>399</v>
      </c>
      <c r="I341" s="1" t="s">
        <v>1107</v>
      </c>
      <c r="J341" s="6">
        <v>5138</v>
      </c>
      <c r="K341" s="5">
        <v>46008</v>
      </c>
      <c r="L341" s="7">
        <v>46022</v>
      </c>
    </row>
    <row r="342" spans="1:12" hidden="1" x14ac:dyDescent="0.25">
      <c r="A342" s="4">
        <v>336</v>
      </c>
      <c r="B342" s="2" t="str">
        <f>HYPERLINK("https://my.zakupivli.pro/remote/dispatcher/state_purchase_view/64610960", "UA-2025-12-17-020476-a")</f>
        <v>UA-2025-12-17-020476-a</v>
      </c>
      <c r="C342" s="1" t="s">
        <v>1847</v>
      </c>
      <c r="D342" s="1" t="s">
        <v>1327</v>
      </c>
      <c r="E342" s="1" t="s">
        <v>1553</v>
      </c>
      <c r="F342" s="1" t="s">
        <v>87</v>
      </c>
      <c r="G342" s="1" t="s">
        <v>2159</v>
      </c>
      <c r="H342" s="1" t="s">
        <v>685</v>
      </c>
      <c r="I342" s="1" t="s">
        <v>1430</v>
      </c>
      <c r="J342" s="6">
        <v>9276</v>
      </c>
      <c r="K342" s="5">
        <v>46007</v>
      </c>
      <c r="L342" s="7">
        <v>46022</v>
      </c>
    </row>
    <row r="343" spans="1:12" hidden="1" x14ac:dyDescent="0.25">
      <c r="A343" s="4">
        <v>337</v>
      </c>
      <c r="B343" s="2" t="str">
        <f>HYPERLINK("https://my.zakupivli.pro/remote/dispatcher/state_purchase_view/64609011", "UA-2025-12-17-019639-a")</f>
        <v>UA-2025-12-17-019639-a</v>
      </c>
      <c r="C343" s="1" t="s">
        <v>2187</v>
      </c>
      <c r="D343" s="1" t="s">
        <v>678</v>
      </c>
      <c r="E343" s="1" t="s">
        <v>1553</v>
      </c>
      <c r="F343" s="1" t="s">
        <v>87</v>
      </c>
      <c r="G343" s="1" t="s">
        <v>1551</v>
      </c>
      <c r="H343" s="1" t="s">
        <v>536</v>
      </c>
      <c r="I343" s="1" t="s">
        <v>1105</v>
      </c>
      <c r="J343" s="6">
        <v>1380</v>
      </c>
      <c r="K343" s="5">
        <v>46007</v>
      </c>
      <c r="L343" s="7">
        <v>46022</v>
      </c>
    </row>
    <row r="344" spans="1:12" hidden="1" x14ac:dyDescent="0.25">
      <c r="A344" s="4">
        <v>338</v>
      </c>
      <c r="B344" s="2" t="str">
        <f>HYPERLINK("https://my.zakupivli.pro/remote/dispatcher/state_purchase_view/64607376", "UA-2025-12-17-018853-a")</f>
        <v>UA-2025-12-17-018853-a</v>
      </c>
      <c r="C344" s="1" t="s">
        <v>2209</v>
      </c>
      <c r="D344" s="1" t="s">
        <v>742</v>
      </c>
      <c r="E344" s="1" t="s">
        <v>1553</v>
      </c>
      <c r="F344" s="1" t="s">
        <v>87</v>
      </c>
      <c r="G344" s="1" t="s">
        <v>1551</v>
      </c>
      <c r="H344" s="1" t="s">
        <v>536</v>
      </c>
      <c r="I344" s="1" t="s">
        <v>1106</v>
      </c>
      <c r="J344" s="6">
        <v>207</v>
      </c>
      <c r="K344" s="5">
        <v>46007</v>
      </c>
      <c r="L344" s="7">
        <v>46022</v>
      </c>
    </row>
    <row r="345" spans="1:12" hidden="1" x14ac:dyDescent="0.25">
      <c r="A345" s="4">
        <v>339</v>
      </c>
      <c r="B345" s="2" t="str">
        <f>HYPERLINK("https://my.zakupivli.pro/remote/dispatcher/state_purchase_view/64570372", "UA-2025-12-17-002217-a")</f>
        <v>UA-2025-12-17-002217-a</v>
      </c>
      <c r="C345" s="1" t="s">
        <v>1829</v>
      </c>
      <c r="D345" s="1" t="s">
        <v>1295</v>
      </c>
      <c r="E345" s="1" t="s">
        <v>1553</v>
      </c>
      <c r="F345" s="1" t="s">
        <v>87</v>
      </c>
      <c r="G345" s="1" t="s">
        <v>1373</v>
      </c>
      <c r="H345" s="1" t="s">
        <v>409</v>
      </c>
      <c r="I345" s="1" t="s">
        <v>274</v>
      </c>
      <c r="J345" s="6">
        <v>12448</v>
      </c>
      <c r="K345" s="5">
        <v>46023</v>
      </c>
      <c r="L345" s="7">
        <v>46387</v>
      </c>
    </row>
    <row r="346" spans="1:12" hidden="1" x14ac:dyDescent="0.25">
      <c r="A346" s="4">
        <v>340</v>
      </c>
      <c r="B346" s="2" t="str">
        <f>HYPERLINK("https://my.zakupivli.pro/remote/dispatcher/state_purchase_view/64518123", "UA-2025-12-16-006071-a")</f>
        <v>UA-2025-12-16-006071-a</v>
      </c>
      <c r="C346" s="1" t="s">
        <v>1844</v>
      </c>
      <c r="D346" s="1" t="s">
        <v>1300</v>
      </c>
      <c r="E346" s="1" t="s">
        <v>1553</v>
      </c>
      <c r="F346" s="1" t="s">
        <v>87</v>
      </c>
      <c r="G346" s="1" t="s">
        <v>2124</v>
      </c>
      <c r="H346" s="1" t="s">
        <v>940</v>
      </c>
      <c r="I346" s="1" t="s">
        <v>1101</v>
      </c>
      <c r="J346" s="6">
        <v>3900</v>
      </c>
      <c r="K346" s="5">
        <v>46003</v>
      </c>
      <c r="L346" s="7">
        <v>46022</v>
      </c>
    </row>
    <row r="347" spans="1:12" hidden="1" x14ac:dyDescent="0.25">
      <c r="A347" s="4">
        <v>341</v>
      </c>
      <c r="B347" s="2" t="str">
        <f>HYPERLINK("https://my.zakupivli.pro/remote/dispatcher/state_purchase_view/64429365", "UA-2025-12-12-016973-a")</f>
        <v>UA-2025-12-12-016973-a</v>
      </c>
      <c r="C347" s="1" t="s">
        <v>1788</v>
      </c>
      <c r="D347" s="1" t="s">
        <v>737</v>
      </c>
      <c r="E347" s="1" t="s">
        <v>1553</v>
      </c>
      <c r="F347" s="1" t="s">
        <v>87</v>
      </c>
      <c r="G347" s="1" t="s">
        <v>2130</v>
      </c>
      <c r="H347" s="1" t="s">
        <v>936</v>
      </c>
      <c r="I347" s="1" t="s">
        <v>1756</v>
      </c>
      <c r="J347" s="6">
        <v>17271.650000000001</v>
      </c>
      <c r="K347" s="5">
        <v>46003</v>
      </c>
      <c r="L347" s="7">
        <v>46022</v>
      </c>
    </row>
    <row r="348" spans="1:12" hidden="1" x14ac:dyDescent="0.25">
      <c r="A348" s="4">
        <v>342</v>
      </c>
      <c r="B348" s="2" t="str">
        <f>HYPERLINK("https://my.zakupivli.pro/remote/dispatcher/state_purchase_view/64428366", "UA-2025-12-12-016501-a")</f>
        <v>UA-2025-12-12-016501-a</v>
      </c>
      <c r="C348" s="1" t="s">
        <v>1897</v>
      </c>
      <c r="D348" s="1" t="s">
        <v>1296</v>
      </c>
      <c r="E348" s="1" t="s">
        <v>1553</v>
      </c>
      <c r="F348" s="1" t="s">
        <v>87</v>
      </c>
      <c r="G348" s="1" t="s">
        <v>1775</v>
      </c>
      <c r="H348" s="1" t="s">
        <v>106</v>
      </c>
      <c r="I348" s="1" t="s">
        <v>1170</v>
      </c>
      <c r="J348" s="6">
        <v>4145.5</v>
      </c>
      <c r="K348" s="5">
        <v>46003</v>
      </c>
      <c r="L348" s="7">
        <v>46022</v>
      </c>
    </row>
    <row r="349" spans="1:12" hidden="1" x14ac:dyDescent="0.25">
      <c r="A349" s="4">
        <v>343</v>
      </c>
      <c r="B349" s="2" t="str">
        <f>HYPERLINK("https://my.zakupivli.pro/remote/dispatcher/state_purchase_view/64375490", "UA-2025-12-11-016917-a")</f>
        <v>UA-2025-12-11-016917-a</v>
      </c>
      <c r="C349" s="1" t="s">
        <v>2190</v>
      </c>
      <c r="D349" s="1" t="s">
        <v>1017</v>
      </c>
      <c r="E349" s="1" t="s">
        <v>1553</v>
      </c>
      <c r="F349" s="1" t="s">
        <v>87</v>
      </c>
      <c r="G349" s="1" t="s">
        <v>1409</v>
      </c>
      <c r="H349" s="1" t="s">
        <v>401</v>
      </c>
      <c r="I349" s="1" t="s">
        <v>1097</v>
      </c>
      <c r="J349" s="6">
        <v>15400</v>
      </c>
      <c r="K349" s="5">
        <v>46002</v>
      </c>
      <c r="L349" s="7">
        <v>46022</v>
      </c>
    </row>
    <row r="350" spans="1:12" hidden="1" x14ac:dyDescent="0.25">
      <c r="A350" s="4">
        <v>344</v>
      </c>
      <c r="B350" s="2" t="str">
        <f>HYPERLINK("https://my.zakupivli.pro/remote/dispatcher/state_purchase_view/64316939", "UA-2025-12-10-014880-a")</f>
        <v>UA-2025-12-10-014880-a</v>
      </c>
      <c r="C350" s="1" t="s">
        <v>1921</v>
      </c>
      <c r="D350" s="1" t="s">
        <v>1313</v>
      </c>
      <c r="E350" s="1" t="s">
        <v>1553</v>
      </c>
      <c r="F350" s="1" t="s">
        <v>87</v>
      </c>
      <c r="G350" s="1" t="s">
        <v>1470</v>
      </c>
      <c r="H350" s="1" t="s">
        <v>863</v>
      </c>
      <c r="I350" s="1" t="s">
        <v>1093</v>
      </c>
      <c r="J350" s="6">
        <v>540</v>
      </c>
      <c r="K350" s="5">
        <v>45999</v>
      </c>
      <c r="L350" s="7">
        <v>46022</v>
      </c>
    </row>
    <row r="351" spans="1:12" hidden="1" x14ac:dyDescent="0.25">
      <c r="A351" s="4">
        <v>345</v>
      </c>
      <c r="B351" s="2" t="str">
        <f>HYPERLINK("https://my.zakupivli.pro/remote/dispatcher/state_purchase_view/64223032", "UA-2025-12-08-018200-a")</f>
        <v>UA-2025-12-08-018200-a</v>
      </c>
      <c r="C351" s="1" t="s">
        <v>1518</v>
      </c>
      <c r="D351" s="1" t="s">
        <v>695</v>
      </c>
      <c r="E351" s="1" t="s">
        <v>1553</v>
      </c>
      <c r="F351" s="1" t="s">
        <v>87</v>
      </c>
      <c r="G351" s="1" t="s">
        <v>2167</v>
      </c>
      <c r="H351" s="1" t="s">
        <v>1084</v>
      </c>
      <c r="I351" s="1" t="s">
        <v>371</v>
      </c>
      <c r="J351" s="6">
        <v>349997</v>
      </c>
      <c r="K351" s="5">
        <v>46014</v>
      </c>
      <c r="L351" s="7">
        <v>46022</v>
      </c>
    </row>
    <row r="352" spans="1:12" hidden="1" x14ac:dyDescent="0.25">
      <c r="A352" s="4">
        <v>346</v>
      </c>
      <c r="B352" s="2" t="str">
        <f>HYPERLINK("https://my.zakupivli.pro/remote/dispatcher/state_purchase_view/64221195", "UA-2025-12-08-017449-a")</f>
        <v>UA-2025-12-08-017449-a</v>
      </c>
      <c r="C352" s="1" t="s">
        <v>1640</v>
      </c>
      <c r="D352" s="1" t="s">
        <v>855</v>
      </c>
      <c r="E352" s="1" t="s">
        <v>1553</v>
      </c>
      <c r="F352" s="1" t="s">
        <v>87</v>
      </c>
      <c r="G352" s="1" t="s">
        <v>2111</v>
      </c>
      <c r="H352" s="1" t="s">
        <v>460</v>
      </c>
      <c r="I352" s="1" t="s">
        <v>93</v>
      </c>
      <c r="J352" s="6">
        <v>860</v>
      </c>
      <c r="K352" s="5">
        <v>45994</v>
      </c>
      <c r="L352" s="7">
        <v>46022</v>
      </c>
    </row>
    <row r="353" spans="1:12" hidden="1" x14ac:dyDescent="0.25">
      <c r="A353" s="4">
        <v>347</v>
      </c>
      <c r="B353" s="2" t="str">
        <f>HYPERLINK("https://my.zakupivli.pro/remote/dispatcher/state_purchase_view/64147616", "UA-2025-12-05-006722-a")</f>
        <v>UA-2025-12-05-006722-a</v>
      </c>
      <c r="C353" s="1" t="s">
        <v>1583</v>
      </c>
      <c r="D353" s="1" t="s">
        <v>478</v>
      </c>
      <c r="E353" s="1" t="s">
        <v>1553</v>
      </c>
      <c r="F353" s="1" t="s">
        <v>87</v>
      </c>
      <c r="G353" s="1" t="s">
        <v>1371</v>
      </c>
      <c r="H353" s="1" t="s">
        <v>60</v>
      </c>
      <c r="I353" s="1" t="s">
        <v>1098</v>
      </c>
      <c r="J353" s="6">
        <v>93721.73</v>
      </c>
      <c r="K353" s="5">
        <v>46003</v>
      </c>
      <c r="L353" s="7">
        <v>46037</v>
      </c>
    </row>
    <row r="354" spans="1:12" hidden="1" x14ac:dyDescent="0.25">
      <c r="A354" s="4">
        <v>348</v>
      </c>
      <c r="B354" s="2" t="str">
        <f>HYPERLINK("https://my.zakupivli.pro/remote/dispatcher/state_purchase_view/64068300", "UA-2025-12-03-017105-a")</f>
        <v>UA-2025-12-03-017105-a</v>
      </c>
      <c r="C354" s="1" t="s">
        <v>1960</v>
      </c>
      <c r="D354" s="1" t="s">
        <v>1077</v>
      </c>
      <c r="E354" s="1" t="s">
        <v>1553</v>
      </c>
      <c r="F354" s="1" t="s">
        <v>87</v>
      </c>
      <c r="G354" s="1" t="s">
        <v>1763</v>
      </c>
      <c r="H354" s="1" t="s">
        <v>107</v>
      </c>
      <c r="I354" s="1" t="s">
        <v>1993</v>
      </c>
      <c r="J354" s="6">
        <v>7550.13</v>
      </c>
      <c r="K354" s="5">
        <v>45994</v>
      </c>
      <c r="L354" s="7">
        <v>46022</v>
      </c>
    </row>
    <row r="355" spans="1:12" hidden="1" x14ac:dyDescent="0.25">
      <c r="A355" s="4">
        <v>349</v>
      </c>
      <c r="B355" s="2" t="str">
        <f>HYPERLINK("https://my.zakupivli.pro/remote/dispatcher/state_purchase_view/64066189", "UA-2025-12-03-016168-a")</f>
        <v>UA-2025-12-03-016168-a</v>
      </c>
      <c r="C355" s="1" t="s">
        <v>2190</v>
      </c>
      <c r="D355" s="1" t="s">
        <v>1017</v>
      </c>
      <c r="E355" s="1" t="s">
        <v>1553</v>
      </c>
      <c r="F355" s="1" t="s">
        <v>87</v>
      </c>
      <c r="G355" s="1" t="s">
        <v>2121</v>
      </c>
      <c r="H355" s="1" t="s">
        <v>675</v>
      </c>
      <c r="I355" s="1" t="s">
        <v>1095</v>
      </c>
      <c r="J355" s="6">
        <v>5246.04</v>
      </c>
      <c r="K355" s="5">
        <v>45992</v>
      </c>
      <c r="L355" s="7">
        <v>46022</v>
      </c>
    </row>
    <row r="356" spans="1:12" hidden="1" x14ac:dyDescent="0.25">
      <c r="A356" s="4">
        <v>350</v>
      </c>
      <c r="B356" s="2" t="str">
        <f>HYPERLINK("https://my.zakupivli.pro/remote/dispatcher/state_purchase_view/64063646", "UA-2025-12-03-014980-a")</f>
        <v>UA-2025-12-03-014980-a</v>
      </c>
      <c r="C356" s="1" t="s">
        <v>1589</v>
      </c>
      <c r="D356" s="1" t="s">
        <v>493</v>
      </c>
      <c r="E356" s="1" t="s">
        <v>1553</v>
      </c>
      <c r="F356" s="1" t="s">
        <v>87</v>
      </c>
      <c r="G356" s="1" t="s">
        <v>1644</v>
      </c>
      <c r="H356" s="1" t="s">
        <v>324</v>
      </c>
      <c r="I356" s="1" t="s">
        <v>1094</v>
      </c>
      <c r="J356" s="6">
        <v>840</v>
      </c>
      <c r="K356" s="5">
        <v>45992</v>
      </c>
      <c r="L356" s="7">
        <v>46022</v>
      </c>
    </row>
    <row r="357" spans="1:12" hidden="1" x14ac:dyDescent="0.25">
      <c r="A357" s="4">
        <v>351</v>
      </c>
      <c r="B357" s="2" t="str">
        <f>HYPERLINK("https://my.zakupivli.pro/remote/dispatcher/state_purchase_view/64061789", "UA-2025-12-03-014207-a")</f>
        <v>UA-2025-12-03-014207-a</v>
      </c>
      <c r="C357" s="1" t="s">
        <v>1850</v>
      </c>
      <c r="D357" s="1" t="s">
        <v>1136</v>
      </c>
      <c r="E357" s="1" t="s">
        <v>1553</v>
      </c>
      <c r="F357" s="1" t="s">
        <v>87</v>
      </c>
      <c r="G357" s="1" t="s">
        <v>1479</v>
      </c>
      <c r="H357" s="1" t="s">
        <v>794</v>
      </c>
      <c r="I357" s="1" t="s">
        <v>261</v>
      </c>
      <c r="J357" s="6">
        <v>73263.960000000006</v>
      </c>
      <c r="K357" s="5">
        <v>45994</v>
      </c>
      <c r="L357" s="7">
        <v>46022</v>
      </c>
    </row>
    <row r="358" spans="1:12" hidden="1" x14ac:dyDescent="0.25">
      <c r="A358" s="4">
        <v>352</v>
      </c>
      <c r="B358" s="2" t="str">
        <f>HYPERLINK("https://my.zakupivli.pro/remote/dispatcher/state_purchase_view/63972350", "UA-2025-12-01-015036-a")</f>
        <v>UA-2025-12-01-015036-a</v>
      </c>
      <c r="C358" s="1" t="s">
        <v>1885</v>
      </c>
      <c r="D358" s="1" t="s">
        <v>1291</v>
      </c>
      <c r="E358" s="1" t="s">
        <v>1553</v>
      </c>
      <c r="F358" s="1" t="s">
        <v>87</v>
      </c>
      <c r="G358" s="1" t="s">
        <v>1761</v>
      </c>
      <c r="H358" s="1" t="s">
        <v>110</v>
      </c>
      <c r="I358" s="1" t="s">
        <v>1102</v>
      </c>
      <c r="J358" s="6">
        <v>5000</v>
      </c>
      <c r="K358" s="5">
        <v>45985</v>
      </c>
      <c r="L358" s="7">
        <v>46022</v>
      </c>
    </row>
    <row r="359" spans="1:12" hidden="1" x14ac:dyDescent="0.25">
      <c r="A359" s="4">
        <v>353</v>
      </c>
      <c r="B359" s="2" t="str">
        <f>HYPERLINK("https://my.zakupivli.pro/remote/dispatcher/state_purchase_view/63925917", "UA-2025-11-28-013179-a")</f>
        <v>UA-2025-11-28-013179-a</v>
      </c>
      <c r="C359" s="1" t="s">
        <v>1380</v>
      </c>
      <c r="D359" s="1" t="s">
        <v>728</v>
      </c>
      <c r="E359" s="1" t="s">
        <v>1553</v>
      </c>
      <c r="F359" s="1" t="s">
        <v>87</v>
      </c>
      <c r="G359" s="1" t="s">
        <v>2173</v>
      </c>
      <c r="H359" s="1" t="s">
        <v>1078</v>
      </c>
      <c r="I359" s="1" t="s">
        <v>1123</v>
      </c>
      <c r="J359" s="6">
        <v>73066.8</v>
      </c>
      <c r="K359" s="5">
        <v>46016</v>
      </c>
      <c r="L359" s="7">
        <v>46112</v>
      </c>
    </row>
    <row r="360" spans="1:12" hidden="1" x14ac:dyDescent="0.25">
      <c r="A360" s="4">
        <v>354</v>
      </c>
      <c r="B360" s="2" t="str">
        <f>HYPERLINK("https://my.zakupivli.pro/remote/dispatcher/state_purchase_view/63844192", "UA-2025-11-26-015975-a")</f>
        <v>UA-2025-11-26-015975-a</v>
      </c>
      <c r="C360" s="1" t="s">
        <v>1589</v>
      </c>
      <c r="D360" s="1" t="s">
        <v>493</v>
      </c>
      <c r="E360" s="1" t="s">
        <v>1553</v>
      </c>
      <c r="F360" s="1" t="s">
        <v>87</v>
      </c>
      <c r="G360" s="1" t="s">
        <v>1623</v>
      </c>
      <c r="H360" s="1" t="s">
        <v>579</v>
      </c>
      <c r="I360" s="1" t="s">
        <v>1088</v>
      </c>
      <c r="J360" s="6">
        <v>10000</v>
      </c>
      <c r="K360" s="5">
        <v>45987</v>
      </c>
      <c r="L360" s="7">
        <v>46022</v>
      </c>
    </row>
    <row r="361" spans="1:12" hidden="1" x14ac:dyDescent="0.25">
      <c r="A361" s="4">
        <v>355</v>
      </c>
      <c r="B361" s="2" t="str">
        <f>HYPERLINK("https://my.zakupivli.pro/remote/dispatcher/state_purchase_view/63843086", "UA-2025-11-26-015414-a")</f>
        <v>UA-2025-11-26-015414-a</v>
      </c>
      <c r="C361" s="1" t="s">
        <v>1896</v>
      </c>
      <c r="D361" s="1" t="s">
        <v>1288</v>
      </c>
      <c r="E361" s="1" t="s">
        <v>1553</v>
      </c>
      <c r="F361" s="1" t="s">
        <v>87</v>
      </c>
      <c r="G361" s="1" t="s">
        <v>1468</v>
      </c>
      <c r="H361" s="1" t="s">
        <v>570</v>
      </c>
      <c r="I361" s="1" t="s">
        <v>1090</v>
      </c>
      <c r="J361" s="6">
        <v>92000</v>
      </c>
      <c r="K361" s="5">
        <v>45978</v>
      </c>
      <c r="L361" s="7">
        <v>46022</v>
      </c>
    </row>
    <row r="362" spans="1:12" hidden="1" x14ac:dyDescent="0.25">
      <c r="A362" s="4">
        <v>356</v>
      </c>
      <c r="B362" s="2" t="str">
        <f>HYPERLINK("https://my.zakupivli.pro/remote/dispatcher/state_purchase_view/63748153", "UA-2025-11-24-013452-a")</f>
        <v>UA-2025-11-24-013452-a</v>
      </c>
      <c r="C362" s="1" t="s">
        <v>1869</v>
      </c>
      <c r="D362" s="1" t="s">
        <v>1160</v>
      </c>
      <c r="E362" s="1" t="s">
        <v>1553</v>
      </c>
      <c r="F362" s="1" t="s">
        <v>87</v>
      </c>
      <c r="G362" s="1" t="s">
        <v>1404</v>
      </c>
      <c r="H362" s="1" t="s">
        <v>508</v>
      </c>
      <c r="I362" s="1" t="s">
        <v>1087</v>
      </c>
      <c r="J362" s="6">
        <v>19000</v>
      </c>
      <c r="K362" s="5">
        <v>45982</v>
      </c>
      <c r="L362" s="7">
        <v>45994</v>
      </c>
    </row>
    <row r="363" spans="1:12" hidden="1" x14ac:dyDescent="0.25">
      <c r="A363" s="4">
        <v>357</v>
      </c>
      <c r="B363" s="2" t="str">
        <f>HYPERLINK("https://my.zakupivli.pro/remote/dispatcher/state_purchase_view/63647209", "UA-2025-11-20-006046-a")</f>
        <v>UA-2025-11-20-006046-a</v>
      </c>
      <c r="C363" s="1" t="s">
        <v>2047</v>
      </c>
      <c r="D363" s="1" t="s">
        <v>738</v>
      </c>
      <c r="E363" s="1" t="s">
        <v>1553</v>
      </c>
      <c r="F363" s="1" t="s">
        <v>87</v>
      </c>
      <c r="G363" s="1" t="s">
        <v>1551</v>
      </c>
      <c r="H363" s="1" t="s">
        <v>536</v>
      </c>
      <c r="I363" s="1" t="s">
        <v>1083</v>
      </c>
      <c r="J363" s="6">
        <v>445</v>
      </c>
      <c r="K363" s="5">
        <v>45981</v>
      </c>
      <c r="L363" s="7">
        <v>46022</v>
      </c>
    </row>
    <row r="364" spans="1:12" hidden="1" x14ac:dyDescent="0.25">
      <c r="A364" s="4">
        <v>358</v>
      </c>
      <c r="B364" s="2" t="str">
        <f>HYPERLINK("https://my.zakupivli.pro/remote/dispatcher/state_purchase_view/63646400", "UA-2025-11-20-005683-a")</f>
        <v>UA-2025-11-20-005683-a</v>
      </c>
      <c r="C364" s="1" t="s">
        <v>1710</v>
      </c>
      <c r="D364" s="1" t="s">
        <v>895</v>
      </c>
      <c r="E364" s="1" t="s">
        <v>1553</v>
      </c>
      <c r="F364" s="1" t="s">
        <v>87</v>
      </c>
      <c r="G364" s="1" t="s">
        <v>1551</v>
      </c>
      <c r="H364" s="1" t="s">
        <v>536</v>
      </c>
      <c r="I364" s="1" t="s">
        <v>1081</v>
      </c>
      <c r="J364" s="6">
        <v>499.5</v>
      </c>
      <c r="K364" s="5">
        <v>45981</v>
      </c>
      <c r="L364" s="7">
        <v>46022</v>
      </c>
    </row>
    <row r="365" spans="1:12" hidden="1" x14ac:dyDescent="0.25">
      <c r="A365" s="4">
        <v>359</v>
      </c>
      <c r="B365" s="2" t="str">
        <f>HYPERLINK("https://my.zakupivli.pro/remote/dispatcher/state_purchase_view/63624149", "UA-2025-11-19-013970-a")</f>
        <v>UA-2025-11-19-013970-a</v>
      </c>
      <c r="C365" s="1" t="s">
        <v>1657</v>
      </c>
      <c r="D365" s="1" t="s">
        <v>892</v>
      </c>
      <c r="E365" s="1" t="s">
        <v>1553</v>
      </c>
      <c r="F365" s="1" t="s">
        <v>87</v>
      </c>
      <c r="G365" s="1" t="s">
        <v>1635</v>
      </c>
      <c r="H365" s="1" t="s">
        <v>525</v>
      </c>
      <c r="I365" s="1" t="s">
        <v>403</v>
      </c>
      <c r="J365" s="6">
        <v>24500</v>
      </c>
      <c r="K365" s="5">
        <v>45980</v>
      </c>
      <c r="L365" s="7">
        <v>46022</v>
      </c>
    </row>
    <row r="366" spans="1:12" hidden="1" x14ac:dyDescent="0.25">
      <c r="A366" s="4">
        <v>360</v>
      </c>
      <c r="B366" s="2" t="str">
        <f>HYPERLINK("https://my.zakupivli.pro/remote/dispatcher/state_purchase_view/63623489", "UA-2025-11-19-013648-a")</f>
        <v>UA-2025-11-19-013648-a</v>
      </c>
      <c r="C366" s="1" t="s">
        <v>1733</v>
      </c>
      <c r="D366" s="1" t="s">
        <v>882</v>
      </c>
      <c r="E366" s="1" t="s">
        <v>1553</v>
      </c>
      <c r="F366" s="1" t="s">
        <v>87</v>
      </c>
      <c r="G366" s="1" t="s">
        <v>1635</v>
      </c>
      <c r="H366" s="1" t="s">
        <v>525</v>
      </c>
      <c r="I366" s="1" t="s">
        <v>363</v>
      </c>
      <c r="J366" s="6">
        <v>13228</v>
      </c>
      <c r="K366" s="5">
        <v>45980</v>
      </c>
      <c r="L366" s="7">
        <v>46022</v>
      </c>
    </row>
    <row r="367" spans="1:12" hidden="1" x14ac:dyDescent="0.25">
      <c r="A367" s="4">
        <v>361</v>
      </c>
      <c r="B367" s="2" t="str">
        <f>HYPERLINK("https://my.zakupivli.pro/remote/dispatcher/state_purchase_view/63621350", "UA-2025-11-19-012696-a")</f>
        <v>UA-2025-11-19-012696-a</v>
      </c>
      <c r="C367" s="1" t="s">
        <v>2050</v>
      </c>
      <c r="D367" s="1" t="s">
        <v>881</v>
      </c>
      <c r="E367" s="1" t="s">
        <v>1553</v>
      </c>
      <c r="F367" s="1" t="s">
        <v>87</v>
      </c>
      <c r="G367" s="1" t="s">
        <v>1635</v>
      </c>
      <c r="H367" s="1" t="s">
        <v>525</v>
      </c>
      <c r="I367" s="1" t="s">
        <v>336</v>
      </c>
      <c r="J367" s="6">
        <v>4280</v>
      </c>
      <c r="K367" s="5">
        <v>45980</v>
      </c>
      <c r="L367" s="7">
        <v>46022</v>
      </c>
    </row>
    <row r="368" spans="1:12" hidden="1" x14ac:dyDescent="0.25">
      <c r="A368" s="4">
        <v>362</v>
      </c>
      <c r="B368" s="2" t="str">
        <f>HYPERLINK("https://my.zakupivli.pro/remote/dispatcher/state_purchase_view/63613948", "UA-2025-11-19-009360-a")</f>
        <v>UA-2025-11-19-009360-a</v>
      </c>
      <c r="C368" s="1" t="s">
        <v>1780</v>
      </c>
      <c r="D368" s="1" t="s">
        <v>1114</v>
      </c>
      <c r="E368" s="1" t="s">
        <v>1553</v>
      </c>
      <c r="F368" s="1" t="s">
        <v>87</v>
      </c>
      <c r="G368" s="1" t="s">
        <v>2096</v>
      </c>
      <c r="H368" s="1" t="s">
        <v>629</v>
      </c>
      <c r="I368" s="1" t="s">
        <v>367</v>
      </c>
      <c r="J368" s="6">
        <v>4220</v>
      </c>
      <c r="K368" s="5">
        <v>45980</v>
      </c>
      <c r="L368" s="7">
        <v>46022</v>
      </c>
    </row>
    <row r="369" spans="1:12" hidden="1" x14ac:dyDescent="0.25">
      <c r="A369" s="4">
        <v>363</v>
      </c>
      <c r="B369" s="2" t="str">
        <f>HYPERLINK("https://my.zakupivli.pro/remote/dispatcher/state_purchase_view/63606388", "UA-2025-11-19-006013-a")</f>
        <v>UA-2025-11-19-006013-a</v>
      </c>
      <c r="C369" s="1" t="s">
        <v>1388</v>
      </c>
      <c r="D369" s="1" t="s">
        <v>639</v>
      </c>
      <c r="E369" s="1" t="s">
        <v>1553</v>
      </c>
      <c r="F369" s="1" t="s">
        <v>87</v>
      </c>
      <c r="G369" s="1" t="s">
        <v>1776</v>
      </c>
      <c r="H369" s="1" t="s">
        <v>436</v>
      </c>
      <c r="I369" s="1" t="s">
        <v>1079</v>
      </c>
      <c r="J369" s="6">
        <v>1280</v>
      </c>
      <c r="K369" s="5">
        <v>45980</v>
      </c>
      <c r="L369" s="7">
        <v>46022</v>
      </c>
    </row>
    <row r="370" spans="1:12" hidden="1" x14ac:dyDescent="0.25">
      <c r="A370" s="4">
        <v>364</v>
      </c>
      <c r="B370" s="2" t="str">
        <f>HYPERLINK("https://my.zakupivli.pro/remote/dispatcher/state_purchase_view/63581314", "UA-2025-11-18-012839-a")</f>
        <v>UA-2025-11-18-012839-a</v>
      </c>
      <c r="C370" s="1" t="s">
        <v>0</v>
      </c>
      <c r="D370" s="1" t="s">
        <v>823</v>
      </c>
      <c r="E370" s="1" t="s">
        <v>1553</v>
      </c>
      <c r="F370" s="1" t="s">
        <v>87</v>
      </c>
      <c r="G370" s="1" t="s">
        <v>1633</v>
      </c>
      <c r="H370" s="1" t="s">
        <v>734</v>
      </c>
      <c r="I370" s="1" t="s">
        <v>1620</v>
      </c>
      <c r="J370" s="6">
        <v>16868</v>
      </c>
      <c r="K370" s="5">
        <v>45975</v>
      </c>
      <c r="L370" s="7">
        <v>46022</v>
      </c>
    </row>
    <row r="371" spans="1:12" hidden="1" x14ac:dyDescent="0.25">
      <c r="A371" s="4">
        <v>365</v>
      </c>
      <c r="B371" s="2" t="str">
        <f>HYPERLINK("https://my.zakupivli.pro/remote/dispatcher/state_purchase_view/63580719", "UA-2025-11-18-012634-a")</f>
        <v>UA-2025-11-18-012634-a</v>
      </c>
      <c r="C371" s="1" t="s">
        <v>1467</v>
      </c>
      <c r="D371" s="1" t="s">
        <v>822</v>
      </c>
      <c r="E371" s="1" t="s">
        <v>1553</v>
      </c>
      <c r="F371" s="1" t="s">
        <v>87</v>
      </c>
      <c r="G371" s="1" t="s">
        <v>1624</v>
      </c>
      <c r="H371" s="1" t="s">
        <v>734</v>
      </c>
      <c r="I371" s="1" t="s">
        <v>1619</v>
      </c>
      <c r="J371" s="6">
        <v>21906</v>
      </c>
      <c r="K371" s="5">
        <v>45975</v>
      </c>
      <c r="L371" s="7">
        <v>46022</v>
      </c>
    </row>
    <row r="372" spans="1:12" hidden="1" x14ac:dyDescent="0.25">
      <c r="A372" s="4">
        <v>366</v>
      </c>
      <c r="B372" s="2" t="str">
        <f>HYPERLINK("https://my.zakupivli.pro/remote/dispatcher/state_purchase_view/63562309", "UA-2025-11-18-004416-a")</f>
        <v>UA-2025-11-18-004416-a</v>
      </c>
      <c r="C372" s="1" t="s">
        <v>1637</v>
      </c>
      <c r="D372" s="1" t="s">
        <v>1312</v>
      </c>
      <c r="E372" s="1" t="s">
        <v>1553</v>
      </c>
      <c r="F372" s="1" t="s">
        <v>87</v>
      </c>
      <c r="G372" s="1" t="s">
        <v>1556</v>
      </c>
      <c r="H372" s="1" t="s">
        <v>88</v>
      </c>
      <c r="I372" s="1" t="s">
        <v>1043</v>
      </c>
      <c r="J372" s="6">
        <v>99900</v>
      </c>
      <c r="K372" s="5">
        <v>45971</v>
      </c>
      <c r="L372" s="7">
        <v>46022</v>
      </c>
    </row>
    <row r="373" spans="1:12" hidden="1" x14ac:dyDescent="0.25">
      <c r="A373" s="4">
        <v>367</v>
      </c>
      <c r="B373" s="2" t="str">
        <f>HYPERLINK("https://my.zakupivli.pro/remote/dispatcher/state_purchase_view/63561485", "UA-2025-11-18-004065-a")</f>
        <v>UA-2025-11-18-004065-a</v>
      </c>
      <c r="C373" s="1" t="s">
        <v>27</v>
      </c>
      <c r="D373" s="1" t="s">
        <v>952</v>
      </c>
      <c r="E373" s="1" t="s">
        <v>1553</v>
      </c>
      <c r="F373" s="1" t="s">
        <v>87</v>
      </c>
      <c r="G373" s="1" t="s">
        <v>2148</v>
      </c>
      <c r="H373" s="1" t="s">
        <v>116</v>
      </c>
      <c r="I373" s="1" t="s">
        <v>1205</v>
      </c>
      <c r="J373" s="6">
        <v>95</v>
      </c>
      <c r="K373" s="5">
        <v>45973</v>
      </c>
      <c r="L373" s="7">
        <v>46022</v>
      </c>
    </row>
    <row r="374" spans="1:12" hidden="1" x14ac:dyDescent="0.25">
      <c r="A374" s="4">
        <v>368</v>
      </c>
      <c r="B374" s="2" t="str">
        <f>HYPERLINK("https://my.zakupivli.pro/remote/dispatcher/state_purchase_view/63560615", "UA-2025-11-18-003661-a")</f>
        <v>UA-2025-11-18-003661-a</v>
      </c>
      <c r="C374" s="1" t="s">
        <v>2012</v>
      </c>
      <c r="D374" s="1" t="s">
        <v>768</v>
      </c>
      <c r="E374" s="1" t="s">
        <v>1553</v>
      </c>
      <c r="F374" s="1" t="s">
        <v>87</v>
      </c>
      <c r="G374" s="1" t="s">
        <v>1623</v>
      </c>
      <c r="H374" s="1" t="s">
        <v>579</v>
      </c>
      <c r="I374" s="1" t="s">
        <v>1040</v>
      </c>
      <c r="J374" s="6">
        <v>9300</v>
      </c>
      <c r="K374" s="5">
        <v>45975</v>
      </c>
      <c r="L374" s="7">
        <v>46022</v>
      </c>
    </row>
    <row r="375" spans="1:12" hidden="1" x14ac:dyDescent="0.25">
      <c r="A375" s="4">
        <v>369</v>
      </c>
      <c r="B375" s="2" t="str">
        <f>HYPERLINK("https://my.zakupivli.pro/remote/dispatcher/state_purchase_view/63560081", "UA-2025-11-18-003338-a")</f>
        <v>UA-2025-11-18-003338-a</v>
      </c>
      <c r="C375" s="1" t="s">
        <v>1980</v>
      </c>
      <c r="D375" s="1" t="s">
        <v>1304</v>
      </c>
      <c r="E375" s="1" t="s">
        <v>1553</v>
      </c>
      <c r="F375" s="1" t="s">
        <v>87</v>
      </c>
      <c r="G375" s="1" t="s">
        <v>1563</v>
      </c>
      <c r="H375" s="1" t="s">
        <v>115</v>
      </c>
      <c r="I375" s="1" t="s">
        <v>257</v>
      </c>
      <c r="J375" s="6">
        <v>445</v>
      </c>
      <c r="K375" s="5">
        <v>45975</v>
      </c>
      <c r="L375" s="7">
        <v>46022</v>
      </c>
    </row>
    <row r="376" spans="1:12" hidden="1" x14ac:dyDescent="0.25">
      <c r="A376" s="4">
        <v>370</v>
      </c>
      <c r="B376" s="2" t="str">
        <f>HYPERLINK("https://my.zakupivli.pro/remote/dispatcher/state_purchase_view/63558883", "UA-2025-11-18-002827-a")</f>
        <v>UA-2025-11-18-002827-a</v>
      </c>
      <c r="C376" s="1" t="s">
        <v>1672</v>
      </c>
      <c r="D376" s="1" t="s">
        <v>757</v>
      </c>
      <c r="E376" s="1" t="s">
        <v>1553</v>
      </c>
      <c r="F376" s="1" t="s">
        <v>87</v>
      </c>
      <c r="G376" s="1" t="s">
        <v>2016</v>
      </c>
      <c r="H376" s="1" t="s">
        <v>462</v>
      </c>
      <c r="I376" s="1" t="s">
        <v>331</v>
      </c>
      <c r="J376" s="6">
        <v>65435</v>
      </c>
      <c r="K376" s="5">
        <v>45971</v>
      </c>
      <c r="L376" s="7">
        <v>46022</v>
      </c>
    </row>
    <row r="377" spans="1:12" hidden="1" x14ac:dyDescent="0.25">
      <c r="A377" s="4">
        <v>371</v>
      </c>
      <c r="B377" s="2" t="str">
        <f>HYPERLINK("https://my.zakupivli.pro/remote/dispatcher/state_purchase_view/63380692", "UA-2025-11-11-010844-a")</f>
        <v>UA-2025-11-11-010844-a</v>
      </c>
      <c r="C377" s="1" t="s">
        <v>1723</v>
      </c>
      <c r="D377" s="1" t="s">
        <v>1257</v>
      </c>
      <c r="E377" s="1" t="s">
        <v>1553</v>
      </c>
      <c r="F377" s="1" t="s">
        <v>87</v>
      </c>
      <c r="G377" s="1" t="s">
        <v>2020</v>
      </c>
      <c r="H377" s="1" t="s">
        <v>869</v>
      </c>
      <c r="I377" s="1" t="s">
        <v>83</v>
      </c>
      <c r="J377" s="6">
        <v>21600</v>
      </c>
      <c r="K377" s="5">
        <v>45972</v>
      </c>
      <c r="L377" s="7">
        <v>46022</v>
      </c>
    </row>
    <row r="378" spans="1:12" hidden="1" x14ac:dyDescent="0.25">
      <c r="A378" s="4">
        <v>372</v>
      </c>
      <c r="B378" s="2" t="str">
        <f>HYPERLINK("https://my.zakupivli.pro/remote/dispatcher/state_purchase_view/63379267", "UA-2025-11-11-010250-a")</f>
        <v>UA-2025-11-11-010250-a</v>
      </c>
      <c r="C378" s="1" t="s">
        <v>1852</v>
      </c>
      <c r="D378" s="1" t="s">
        <v>1158</v>
      </c>
      <c r="E378" s="1" t="s">
        <v>1553</v>
      </c>
      <c r="F378" s="1" t="s">
        <v>87</v>
      </c>
      <c r="G378" s="1" t="s">
        <v>2067</v>
      </c>
      <c r="H378" s="1" t="s">
        <v>569</v>
      </c>
      <c r="I378" s="1" t="s">
        <v>71</v>
      </c>
      <c r="J378" s="6">
        <v>21000</v>
      </c>
      <c r="K378" s="5">
        <v>45968</v>
      </c>
      <c r="L378" s="7">
        <v>46022</v>
      </c>
    </row>
    <row r="379" spans="1:12" hidden="1" x14ac:dyDescent="0.25">
      <c r="A379" s="4">
        <v>373</v>
      </c>
      <c r="B379" s="2" t="str">
        <f>HYPERLINK("https://my.zakupivli.pro/remote/dispatcher/state_purchase_view/63273489", "UA-2025-11-06-013557-a")</f>
        <v>UA-2025-11-06-013557-a</v>
      </c>
      <c r="C379" s="1" t="s">
        <v>1463</v>
      </c>
      <c r="D379" s="1" t="s">
        <v>910</v>
      </c>
      <c r="E379" s="1" t="s">
        <v>1553</v>
      </c>
      <c r="F379" s="1" t="s">
        <v>87</v>
      </c>
      <c r="G379" s="1" t="s">
        <v>2021</v>
      </c>
      <c r="H379" s="1" t="s">
        <v>535</v>
      </c>
      <c r="I379" s="1" t="s">
        <v>1028</v>
      </c>
      <c r="J379" s="6">
        <v>24240</v>
      </c>
      <c r="K379" s="5">
        <v>45967</v>
      </c>
      <c r="L379" s="7">
        <v>46022</v>
      </c>
    </row>
    <row r="380" spans="1:12" hidden="1" x14ac:dyDescent="0.25">
      <c r="A380" s="4">
        <v>374</v>
      </c>
      <c r="B380" s="2" t="str">
        <f>HYPERLINK("https://my.zakupivli.pro/remote/dispatcher/state_purchase_view/63272371", "UA-2025-11-06-012995-a")</f>
        <v>UA-2025-11-06-012995-a</v>
      </c>
      <c r="C380" s="1" t="s">
        <v>1802</v>
      </c>
      <c r="D380" s="1" t="s">
        <v>348</v>
      </c>
      <c r="E380" s="1" t="s">
        <v>1553</v>
      </c>
      <c r="F380" s="1" t="s">
        <v>87</v>
      </c>
      <c r="G380" s="1" t="s">
        <v>1623</v>
      </c>
      <c r="H380" s="1" t="s">
        <v>579</v>
      </c>
      <c r="I380" s="1" t="s">
        <v>1023</v>
      </c>
      <c r="J380" s="6">
        <v>20000</v>
      </c>
      <c r="K380" s="5">
        <v>45967</v>
      </c>
      <c r="L380" s="7">
        <v>46022</v>
      </c>
    </row>
    <row r="381" spans="1:12" hidden="1" x14ac:dyDescent="0.25">
      <c r="A381" s="4">
        <v>375</v>
      </c>
      <c r="B381" s="2" t="str">
        <f>HYPERLINK("https://my.zakupivli.pro/remote/dispatcher/state_purchase_view/63268813", "UA-2025-11-06-011409-a")</f>
        <v>UA-2025-11-06-011409-a</v>
      </c>
      <c r="C381" s="1" t="s">
        <v>1960</v>
      </c>
      <c r="D381" s="1" t="s">
        <v>1077</v>
      </c>
      <c r="E381" s="1" t="s">
        <v>1553</v>
      </c>
      <c r="F381" s="1" t="s">
        <v>87</v>
      </c>
      <c r="G381" s="1" t="s">
        <v>1763</v>
      </c>
      <c r="H381" s="1" t="s">
        <v>107</v>
      </c>
      <c r="I381" s="1" t="s">
        <v>1992</v>
      </c>
      <c r="J381" s="6">
        <v>8013.87</v>
      </c>
      <c r="K381" s="5">
        <v>45967</v>
      </c>
      <c r="L381" s="7">
        <v>46022</v>
      </c>
    </row>
    <row r="382" spans="1:12" hidden="1" x14ac:dyDescent="0.25">
      <c r="A382" s="4">
        <v>376</v>
      </c>
      <c r="B382" s="2" t="str">
        <f>HYPERLINK("https://my.zakupivli.pro/remote/dispatcher/state_purchase_view/63240868", "UA-2025-11-05-016119-a")</f>
        <v>UA-2025-11-05-016119-a</v>
      </c>
      <c r="C382" s="1" t="s">
        <v>1577</v>
      </c>
      <c r="D382" s="1" t="s">
        <v>698</v>
      </c>
      <c r="E382" s="1" t="s">
        <v>1553</v>
      </c>
      <c r="F382" s="1" t="s">
        <v>87</v>
      </c>
      <c r="G382" s="1" t="s">
        <v>2167</v>
      </c>
      <c r="H382" s="1" t="s">
        <v>1084</v>
      </c>
      <c r="I382" s="1" t="s">
        <v>370</v>
      </c>
      <c r="J382" s="6">
        <v>510591.16</v>
      </c>
      <c r="K382" s="5">
        <v>45987</v>
      </c>
      <c r="L382" s="7">
        <v>46037</v>
      </c>
    </row>
    <row r="383" spans="1:12" hidden="1" x14ac:dyDescent="0.25">
      <c r="A383" s="4">
        <v>377</v>
      </c>
      <c r="B383" s="2" t="str">
        <f>HYPERLINK("https://my.zakupivli.pro/remote/dispatcher/state_purchase_view/63239900", "UA-2025-11-05-015684-a")</f>
        <v>UA-2025-11-05-015684-a</v>
      </c>
      <c r="C383" s="1" t="s">
        <v>1965</v>
      </c>
      <c r="D383" s="1" t="s">
        <v>787</v>
      </c>
      <c r="E383" s="1" t="s">
        <v>1553</v>
      </c>
      <c r="F383" s="1" t="s">
        <v>87</v>
      </c>
      <c r="G383" s="1" t="s">
        <v>2225</v>
      </c>
      <c r="H383" s="1" t="s">
        <v>820</v>
      </c>
      <c r="I383" s="1" t="s">
        <v>1096</v>
      </c>
      <c r="J383" s="6">
        <v>500000</v>
      </c>
      <c r="K383" s="5">
        <v>45995</v>
      </c>
      <c r="L383" s="7">
        <v>46015</v>
      </c>
    </row>
    <row r="384" spans="1:12" hidden="1" x14ac:dyDescent="0.25">
      <c r="A384" s="4">
        <v>378</v>
      </c>
      <c r="B384" s="2" t="str">
        <f>HYPERLINK("https://my.zakupivli.pro/remote/dispatcher/state_purchase_view/63238956", "UA-2025-11-05-015256-a")</f>
        <v>UA-2025-11-05-015256-a</v>
      </c>
      <c r="C384" s="1" t="s">
        <v>1454</v>
      </c>
      <c r="D384" s="1" t="s">
        <v>1033</v>
      </c>
      <c r="E384" s="1" t="s">
        <v>1553</v>
      </c>
      <c r="F384" s="1" t="s">
        <v>87</v>
      </c>
      <c r="G384" s="1" t="s">
        <v>2085</v>
      </c>
      <c r="H384" s="1" t="s">
        <v>1009</v>
      </c>
      <c r="I384" s="1" t="s">
        <v>1091</v>
      </c>
      <c r="J384" s="6">
        <v>612552</v>
      </c>
      <c r="K384" s="5">
        <v>45992</v>
      </c>
      <c r="L384" s="7">
        <v>46112</v>
      </c>
    </row>
    <row r="385" spans="1:12" hidden="1" x14ac:dyDescent="0.25">
      <c r="A385" s="4">
        <v>379</v>
      </c>
      <c r="B385" s="2" t="str">
        <f>HYPERLINK("https://my.zakupivli.pro/remote/dispatcher/state_purchase_view/63233561", "UA-2025-11-05-012948-a")</f>
        <v>UA-2025-11-05-012948-a</v>
      </c>
      <c r="C385" s="1" t="s">
        <v>2187</v>
      </c>
      <c r="D385" s="1" t="s">
        <v>678</v>
      </c>
      <c r="E385" s="1" t="s">
        <v>1553</v>
      </c>
      <c r="F385" s="1" t="s">
        <v>87</v>
      </c>
      <c r="G385" s="1" t="s">
        <v>1551</v>
      </c>
      <c r="H385" s="1" t="s">
        <v>536</v>
      </c>
      <c r="I385" s="1" t="s">
        <v>1020</v>
      </c>
      <c r="J385" s="6">
        <v>298</v>
      </c>
      <c r="K385" s="5">
        <v>45966</v>
      </c>
      <c r="L385" s="7">
        <v>46022</v>
      </c>
    </row>
    <row r="386" spans="1:12" hidden="1" x14ac:dyDescent="0.25">
      <c r="A386" s="4">
        <v>380</v>
      </c>
      <c r="B386" s="2" t="str">
        <f>HYPERLINK("https://my.zakupivli.pro/remote/dispatcher/state_purchase_view/63232505", "UA-2025-11-05-012449-a")</f>
        <v>UA-2025-11-05-012449-a</v>
      </c>
      <c r="C386" s="1" t="s">
        <v>2053</v>
      </c>
      <c r="D386" s="1" t="s">
        <v>1223</v>
      </c>
      <c r="E386" s="1" t="s">
        <v>1553</v>
      </c>
      <c r="F386" s="1" t="s">
        <v>87</v>
      </c>
      <c r="G386" s="1" t="s">
        <v>1372</v>
      </c>
      <c r="H386" s="1" t="s">
        <v>385</v>
      </c>
      <c r="I386" s="1" t="s">
        <v>61</v>
      </c>
      <c r="J386" s="6">
        <v>1152</v>
      </c>
      <c r="K386" s="5">
        <v>45964</v>
      </c>
      <c r="L386" s="7">
        <v>46022</v>
      </c>
    </row>
    <row r="387" spans="1:12" hidden="1" x14ac:dyDescent="0.25">
      <c r="A387" s="4">
        <v>381</v>
      </c>
      <c r="B387" s="2" t="str">
        <f>HYPERLINK("https://my.zakupivli.pro/remote/dispatcher/state_purchase_view/63188860", "UA-2025-11-04-009890-a")</f>
        <v>UA-2025-11-04-009890-a</v>
      </c>
      <c r="C387" s="1" t="s">
        <v>1792</v>
      </c>
      <c r="D387" s="1" t="s">
        <v>1246</v>
      </c>
      <c r="E387" s="1" t="s">
        <v>1553</v>
      </c>
      <c r="F387" s="1" t="s">
        <v>87</v>
      </c>
      <c r="G387" s="1" t="s">
        <v>1458</v>
      </c>
      <c r="H387" s="1" t="s">
        <v>558</v>
      </c>
      <c r="I387" s="1" t="s">
        <v>374</v>
      </c>
      <c r="J387" s="6">
        <v>9940</v>
      </c>
      <c r="K387" s="5">
        <v>45964</v>
      </c>
      <c r="L387" s="7">
        <v>46022</v>
      </c>
    </row>
    <row r="388" spans="1:12" hidden="1" x14ac:dyDescent="0.25">
      <c r="A388" s="4">
        <v>382</v>
      </c>
      <c r="B388" s="2" t="str">
        <f>HYPERLINK("https://my.zakupivli.pro/remote/dispatcher/state_purchase_view/63110802", "UA-2025-10-31-003506-a")</f>
        <v>UA-2025-10-31-003506-a</v>
      </c>
      <c r="C388" s="1" t="s">
        <v>2009</v>
      </c>
      <c r="D388" s="1" t="s">
        <v>1057</v>
      </c>
      <c r="E388" s="1" t="s">
        <v>1553</v>
      </c>
      <c r="F388" s="1" t="s">
        <v>87</v>
      </c>
      <c r="G388" s="1" t="s">
        <v>1772</v>
      </c>
      <c r="H388" s="1" t="s">
        <v>796</v>
      </c>
      <c r="I388" s="1" t="s">
        <v>1000</v>
      </c>
      <c r="J388" s="6">
        <v>99771.88</v>
      </c>
      <c r="K388" s="5">
        <v>45960</v>
      </c>
      <c r="L388" s="7">
        <v>46022</v>
      </c>
    </row>
    <row r="389" spans="1:12" hidden="1" x14ac:dyDescent="0.25">
      <c r="A389" s="4">
        <v>383</v>
      </c>
      <c r="B389" s="2" t="str">
        <f>HYPERLINK("https://my.zakupivli.pro/remote/dispatcher/state_purchase_view/63110393", "UA-2025-10-31-003262-a")</f>
        <v>UA-2025-10-31-003262-a</v>
      </c>
      <c r="C389" s="1" t="s">
        <v>1825</v>
      </c>
      <c r="D389" s="1" t="s">
        <v>1072</v>
      </c>
      <c r="E389" s="1" t="s">
        <v>1553</v>
      </c>
      <c r="F389" s="1" t="s">
        <v>87</v>
      </c>
      <c r="G389" s="1" t="s">
        <v>1772</v>
      </c>
      <c r="H389" s="1" t="s">
        <v>796</v>
      </c>
      <c r="I389" s="1" t="s">
        <v>996</v>
      </c>
      <c r="J389" s="6">
        <v>97291.31</v>
      </c>
      <c r="K389" s="5">
        <v>45960</v>
      </c>
      <c r="L389" s="7">
        <v>46022</v>
      </c>
    </row>
    <row r="390" spans="1:12" hidden="1" x14ac:dyDescent="0.25">
      <c r="A390" s="4">
        <v>384</v>
      </c>
      <c r="B390" s="2" t="str">
        <f>HYPERLINK("https://my.zakupivli.pro/remote/dispatcher/state_purchase_view/63109785", "UA-2025-10-31-002981-a")</f>
        <v>UA-2025-10-31-002981-a</v>
      </c>
      <c r="C390" s="1" t="s">
        <v>1675</v>
      </c>
      <c r="D390" s="1" t="s">
        <v>1060</v>
      </c>
      <c r="E390" s="1" t="s">
        <v>1553</v>
      </c>
      <c r="F390" s="1" t="s">
        <v>87</v>
      </c>
      <c r="G390" s="1" t="s">
        <v>1772</v>
      </c>
      <c r="H390" s="1" t="s">
        <v>796</v>
      </c>
      <c r="I390" s="1" t="s">
        <v>961</v>
      </c>
      <c r="J390" s="6">
        <v>86060.72</v>
      </c>
      <c r="K390" s="5">
        <v>45960</v>
      </c>
      <c r="L390" s="7">
        <v>46022</v>
      </c>
    </row>
    <row r="391" spans="1:12" hidden="1" x14ac:dyDescent="0.25">
      <c r="A391" s="4">
        <v>385</v>
      </c>
      <c r="B391" s="2" t="str">
        <f>HYPERLINK("https://my.zakupivli.pro/remote/dispatcher/state_purchase_view/63098885", "UA-2025-10-30-011978-a")</f>
        <v>UA-2025-10-30-011978-a</v>
      </c>
      <c r="C391" s="1" t="s">
        <v>1636</v>
      </c>
      <c r="D391" s="1" t="s">
        <v>713</v>
      </c>
      <c r="E391" s="1" t="s">
        <v>1553</v>
      </c>
      <c r="F391" s="1" t="s">
        <v>87</v>
      </c>
      <c r="G391" s="1" t="s">
        <v>2257</v>
      </c>
      <c r="H391" s="1" t="s">
        <v>587</v>
      </c>
      <c r="I391" s="1" t="s">
        <v>1182</v>
      </c>
      <c r="J391" s="6">
        <v>415500</v>
      </c>
      <c r="K391" s="5">
        <v>45974</v>
      </c>
      <c r="L391" s="7">
        <v>46002</v>
      </c>
    </row>
    <row r="392" spans="1:12" hidden="1" x14ac:dyDescent="0.25">
      <c r="A392" s="4">
        <v>386</v>
      </c>
      <c r="B392" s="2" t="str">
        <f>HYPERLINK("https://my.zakupivli.pro/remote/dispatcher/state_purchase_view/63094461", "UA-2025-10-30-009837-a")</f>
        <v>UA-2025-10-30-009837-a</v>
      </c>
      <c r="C392" s="1" t="s">
        <v>1984</v>
      </c>
      <c r="D392" s="1" t="s">
        <v>1304</v>
      </c>
      <c r="E392" s="1" t="s">
        <v>1553</v>
      </c>
      <c r="F392" s="1" t="s">
        <v>87</v>
      </c>
      <c r="G392" s="1" t="s">
        <v>2137</v>
      </c>
      <c r="H392" s="1" t="s">
        <v>836</v>
      </c>
      <c r="I392" s="1" t="s">
        <v>1289</v>
      </c>
      <c r="J392" s="6">
        <v>1152</v>
      </c>
      <c r="K392" s="5">
        <v>45959</v>
      </c>
      <c r="L392" s="7">
        <v>46022</v>
      </c>
    </row>
    <row r="393" spans="1:12" hidden="1" x14ac:dyDescent="0.25">
      <c r="A393" s="4">
        <v>387</v>
      </c>
      <c r="B393" s="2" t="str">
        <f>HYPERLINK("https://my.zakupivli.pro/remote/dispatcher/state_purchase_view/63093194", "UA-2025-10-30-009242-a")</f>
        <v>UA-2025-10-30-009242-a</v>
      </c>
      <c r="C393" s="1" t="s">
        <v>1937</v>
      </c>
      <c r="D393" s="1" t="s">
        <v>856</v>
      </c>
      <c r="E393" s="1" t="s">
        <v>1553</v>
      </c>
      <c r="F393" s="1" t="s">
        <v>87</v>
      </c>
      <c r="G393" s="1" t="s">
        <v>2122</v>
      </c>
      <c r="H393" s="1" t="s">
        <v>605</v>
      </c>
      <c r="I393" s="1" t="s">
        <v>989</v>
      </c>
      <c r="J393" s="6">
        <v>1134.72</v>
      </c>
      <c r="K393" s="5">
        <v>45957</v>
      </c>
      <c r="L393" s="7">
        <v>46022</v>
      </c>
    </row>
    <row r="394" spans="1:12" hidden="1" x14ac:dyDescent="0.25">
      <c r="A394" s="4">
        <v>388</v>
      </c>
      <c r="B394" s="2" t="str">
        <f>HYPERLINK("https://my.zakupivli.pro/remote/dispatcher/state_purchase_view/63092581", "UA-2025-10-30-008924-a")</f>
        <v>UA-2025-10-30-008924-a</v>
      </c>
      <c r="C394" s="1" t="s">
        <v>1937</v>
      </c>
      <c r="D394" s="1" t="s">
        <v>856</v>
      </c>
      <c r="E394" s="1" t="s">
        <v>1553</v>
      </c>
      <c r="F394" s="1" t="s">
        <v>87</v>
      </c>
      <c r="G394" s="1" t="s">
        <v>2122</v>
      </c>
      <c r="H394" s="1" t="s">
        <v>605</v>
      </c>
      <c r="I394" s="1" t="s">
        <v>988</v>
      </c>
      <c r="J394" s="6">
        <v>3344.82</v>
      </c>
      <c r="K394" s="5">
        <v>45957</v>
      </c>
      <c r="L394" s="7">
        <v>46022</v>
      </c>
    </row>
    <row r="395" spans="1:12" hidden="1" x14ac:dyDescent="0.25">
      <c r="A395" s="4">
        <v>389</v>
      </c>
      <c r="B395" s="2" t="str">
        <f>HYPERLINK("https://my.zakupivli.pro/remote/dispatcher/state_purchase_view/63090936", "UA-2025-10-30-008168-a")</f>
        <v>UA-2025-10-30-008168-a</v>
      </c>
      <c r="C395" s="1" t="s">
        <v>1531</v>
      </c>
      <c r="D395" s="1" t="s">
        <v>1030</v>
      </c>
      <c r="E395" s="1" t="s">
        <v>1553</v>
      </c>
      <c r="F395" s="1" t="s">
        <v>87</v>
      </c>
      <c r="G395" s="1" t="s">
        <v>1623</v>
      </c>
      <c r="H395" s="1" t="s">
        <v>579</v>
      </c>
      <c r="I395" s="1" t="s">
        <v>987</v>
      </c>
      <c r="J395" s="6">
        <v>35000</v>
      </c>
      <c r="K395" s="5">
        <v>45959</v>
      </c>
      <c r="L395" s="7">
        <v>46022</v>
      </c>
    </row>
    <row r="396" spans="1:12" hidden="1" x14ac:dyDescent="0.25">
      <c r="A396" s="4">
        <v>390</v>
      </c>
      <c r="B396" s="2" t="str">
        <f>HYPERLINK("https://my.zakupivli.pro/remote/dispatcher/state_purchase_view/63090348", "UA-2025-10-30-007887-a")</f>
        <v>UA-2025-10-30-007887-a</v>
      </c>
      <c r="C396" s="1" t="s">
        <v>1510</v>
      </c>
      <c r="D396" s="1" t="s">
        <v>638</v>
      </c>
      <c r="E396" s="1" t="s">
        <v>1553</v>
      </c>
      <c r="F396" s="1" t="s">
        <v>87</v>
      </c>
      <c r="G396" s="1" t="s">
        <v>1643</v>
      </c>
      <c r="H396" s="1" t="s">
        <v>725</v>
      </c>
      <c r="I396" s="1" t="s">
        <v>982</v>
      </c>
      <c r="J396" s="6">
        <v>3050</v>
      </c>
      <c r="K396" s="5">
        <v>45959</v>
      </c>
      <c r="L396" s="7">
        <v>46022</v>
      </c>
    </row>
    <row r="397" spans="1:12" hidden="1" x14ac:dyDescent="0.25">
      <c r="A397" s="4">
        <v>391</v>
      </c>
      <c r="B397" s="2" t="str">
        <f>HYPERLINK("https://my.zakupivli.pro/remote/dispatcher/state_purchase_view/63070592", "UA-2025-10-29-014820-a")</f>
        <v>UA-2025-10-29-014820-a</v>
      </c>
      <c r="C397" s="1" t="s">
        <v>1680</v>
      </c>
      <c r="D397" s="1" t="s">
        <v>713</v>
      </c>
      <c r="E397" s="1" t="s">
        <v>1553</v>
      </c>
      <c r="F397" s="1" t="s">
        <v>87</v>
      </c>
      <c r="G397" s="1" t="s">
        <v>2257</v>
      </c>
      <c r="H397" s="1" t="s">
        <v>587</v>
      </c>
      <c r="I397" s="1" t="s">
        <v>1180</v>
      </c>
      <c r="J397" s="6">
        <v>739800</v>
      </c>
      <c r="K397" s="5">
        <v>45974</v>
      </c>
      <c r="L397" s="7">
        <v>45999</v>
      </c>
    </row>
    <row r="398" spans="1:12" hidden="1" x14ac:dyDescent="0.25">
      <c r="A398" s="4">
        <v>392</v>
      </c>
      <c r="B398" s="2" t="str">
        <f>HYPERLINK("https://my.zakupivli.pro/remote/dispatcher/state_purchase_view/63035972", "UA-2025-10-28-016217-a")</f>
        <v>UA-2025-10-28-016217-a</v>
      </c>
      <c r="C398" s="1" t="s">
        <v>2049</v>
      </c>
      <c r="D398" s="1" t="s">
        <v>711</v>
      </c>
      <c r="E398" s="1" t="s">
        <v>1553</v>
      </c>
      <c r="F398" s="1" t="s">
        <v>87</v>
      </c>
      <c r="G398" s="1" t="s">
        <v>2201</v>
      </c>
      <c r="H398" s="1" t="s">
        <v>652</v>
      </c>
      <c r="I398" s="1" t="s">
        <v>1076</v>
      </c>
      <c r="J398" s="6">
        <v>27352</v>
      </c>
      <c r="K398" s="5">
        <v>45975</v>
      </c>
      <c r="L398" s="7">
        <v>45994</v>
      </c>
    </row>
    <row r="399" spans="1:12" hidden="1" x14ac:dyDescent="0.25">
      <c r="A399" s="4">
        <v>393</v>
      </c>
      <c r="B399" s="2" t="str">
        <f>HYPERLINK("https://my.zakupivli.pro/remote/dispatcher/state_purchase_view/63021833", "UA-2025-10-28-009771-a")</f>
        <v>UA-2025-10-28-009771-a</v>
      </c>
      <c r="C399" s="1" t="s">
        <v>2051</v>
      </c>
      <c r="D399" s="1" t="s">
        <v>894</v>
      </c>
      <c r="E399" s="1" t="s">
        <v>1553</v>
      </c>
      <c r="F399" s="1" t="s">
        <v>87</v>
      </c>
      <c r="G399" s="1" t="s">
        <v>1551</v>
      </c>
      <c r="H399" s="1" t="s">
        <v>536</v>
      </c>
      <c r="I399" s="1" t="s">
        <v>981</v>
      </c>
      <c r="J399" s="6">
        <v>1950</v>
      </c>
      <c r="K399" s="5">
        <v>45958</v>
      </c>
      <c r="L399" s="7">
        <v>46022</v>
      </c>
    </row>
    <row r="400" spans="1:12" hidden="1" x14ac:dyDescent="0.25">
      <c r="A400" s="4">
        <v>394</v>
      </c>
      <c r="B400" s="2" t="str">
        <f>HYPERLINK("https://my.zakupivli.pro/remote/dispatcher/state_purchase_view/63019665", "UA-2025-10-28-008673-a")</f>
        <v>UA-2025-10-28-008673-a</v>
      </c>
      <c r="C400" s="1" t="s">
        <v>1735</v>
      </c>
      <c r="D400" s="1" t="s">
        <v>1292</v>
      </c>
      <c r="E400" s="1" t="s">
        <v>1553</v>
      </c>
      <c r="F400" s="1" t="s">
        <v>87</v>
      </c>
      <c r="G400" s="1" t="s">
        <v>1771</v>
      </c>
      <c r="H400" s="1" t="s">
        <v>965</v>
      </c>
      <c r="I400" s="1" t="s">
        <v>980</v>
      </c>
      <c r="J400" s="6">
        <v>1600</v>
      </c>
      <c r="K400" s="5">
        <v>45954</v>
      </c>
      <c r="L400" s="7">
        <v>46022</v>
      </c>
    </row>
    <row r="401" spans="1:12" hidden="1" x14ac:dyDescent="0.25">
      <c r="A401" s="4">
        <v>395</v>
      </c>
      <c r="B401" s="2" t="str">
        <f>HYPERLINK("https://my.zakupivli.pro/remote/dispatcher/state_purchase_view/63011546", "UA-2025-10-28-004869-a")</f>
        <v>UA-2025-10-28-004869-a</v>
      </c>
      <c r="C401" s="1" t="s">
        <v>1720</v>
      </c>
      <c r="D401" s="1" t="s">
        <v>663</v>
      </c>
      <c r="E401" s="1" t="s">
        <v>1553</v>
      </c>
      <c r="F401" s="1" t="s">
        <v>87</v>
      </c>
      <c r="G401" s="1" t="s">
        <v>1743</v>
      </c>
      <c r="H401" s="1" t="s">
        <v>538</v>
      </c>
      <c r="I401" s="1" t="s">
        <v>974</v>
      </c>
      <c r="J401" s="6">
        <v>99880</v>
      </c>
      <c r="K401" s="5">
        <v>45957</v>
      </c>
      <c r="L401" s="7">
        <v>46022</v>
      </c>
    </row>
    <row r="402" spans="1:12" hidden="1" x14ac:dyDescent="0.25">
      <c r="A402" s="4">
        <v>396</v>
      </c>
      <c r="B402" s="2" t="str">
        <f>HYPERLINK("https://my.zakupivli.pro/remote/dispatcher/state_purchase_view/62958742", "UA-2025-10-24-015200-a")</f>
        <v>UA-2025-10-24-015200-a</v>
      </c>
      <c r="C402" s="1" t="s">
        <v>2197</v>
      </c>
      <c r="D402" s="1" t="s">
        <v>1150</v>
      </c>
      <c r="E402" s="1" t="s">
        <v>1553</v>
      </c>
      <c r="F402" s="1" t="s">
        <v>87</v>
      </c>
      <c r="G402" s="1" t="s">
        <v>2234</v>
      </c>
      <c r="H402" s="1" t="s">
        <v>622</v>
      </c>
      <c r="I402" s="1" t="s">
        <v>1036</v>
      </c>
      <c r="J402" s="6">
        <v>172458</v>
      </c>
      <c r="K402" s="5">
        <v>45972</v>
      </c>
      <c r="L402" s="7">
        <v>46017</v>
      </c>
    </row>
    <row r="403" spans="1:12" hidden="1" x14ac:dyDescent="0.25">
      <c r="A403" s="4">
        <v>397</v>
      </c>
      <c r="B403" s="2" t="str">
        <f>HYPERLINK("https://my.zakupivli.pro/remote/dispatcher/state_purchase_view/62957391", "UA-2025-10-24-014501-a")</f>
        <v>UA-2025-10-24-014501-a</v>
      </c>
      <c r="C403" s="1" t="s">
        <v>1515</v>
      </c>
      <c r="D403" s="1" t="s">
        <v>695</v>
      </c>
      <c r="E403" s="1" t="s">
        <v>1553</v>
      </c>
      <c r="F403" s="1" t="s">
        <v>87</v>
      </c>
      <c r="G403" s="1" t="s">
        <v>2239</v>
      </c>
      <c r="H403" s="1" t="s">
        <v>734</v>
      </c>
      <c r="I403" s="1" t="s">
        <v>1618</v>
      </c>
      <c r="J403" s="6">
        <v>120333</v>
      </c>
      <c r="K403" s="5">
        <v>45975</v>
      </c>
      <c r="L403" s="7">
        <v>46041</v>
      </c>
    </row>
    <row r="404" spans="1:12" hidden="1" x14ac:dyDescent="0.25">
      <c r="A404" s="4">
        <v>398</v>
      </c>
      <c r="B404" s="2" t="str">
        <f>HYPERLINK("https://my.zakupivli.pro/remote/dispatcher/state_purchase_view/62954354", "UA-2025-10-24-013023-a")</f>
        <v>UA-2025-10-24-013023-a</v>
      </c>
      <c r="C404" s="1" t="s">
        <v>1857</v>
      </c>
      <c r="D404" s="1" t="s">
        <v>1157</v>
      </c>
      <c r="E404" s="1" t="s">
        <v>1553</v>
      </c>
      <c r="F404" s="1" t="s">
        <v>87</v>
      </c>
      <c r="G404" s="1" t="s">
        <v>1762</v>
      </c>
      <c r="H404" s="1" t="s">
        <v>821</v>
      </c>
      <c r="I404" s="1" t="s">
        <v>1217</v>
      </c>
      <c r="J404" s="6">
        <v>38177.699999999997</v>
      </c>
      <c r="K404" s="5">
        <v>45951</v>
      </c>
      <c r="L404" s="7">
        <v>46022</v>
      </c>
    </row>
    <row r="405" spans="1:12" hidden="1" x14ac:dyDescent="0.25">
      <c r="A405" s="4">
        <v>399</v>
      </c>
      <c r="B405" s="2" t="str">
        <f>HYPERLINK("https://my.zakupivli.pro/remote/dispatcher/state_purchase_view/62953183", "UA-2025-10-24-012491-a")</f>
        <v>UA-2025-10-24-012491-a</v>
      </c>
      <c r="C405" s="1" t="s">
        <v>1930</v>
      </c>
      <c r="D405" s="1" t="s">
        <v>1345</v>
      </c>
      <c r="E405" s="1" t="s">
        <v>1553</v>
      </c>
      <c r="F405" s="1" t="s">
        <v>87</v>
      </c>
      <c r="G405" s="1" t="s">
        <v>1558</v>
      </c>
      <c r="H405" s="1" t="s">
        <v>399</v>
      </c>
      <c r="I405" s="1" t="s">
        <v>972</v>
      </c>
      <c r="J405" s="6">
        <v>4697</v>
      </c>
      <c r="K405" s="5">
        <v>45952</v>
      </c>
      <c r="L405" s="7">
        <v>46022</v>
      </c>
    </row>
    <row r="406" spans="1:12" hidden="1" x14ac:dyDescent="0.25">
      <c r="A406" s="4">
        <v>400</v>
      </c>
      <c r="B406" s="2" t="str">
        <f>HYPERLINK("https://my.zakupivli.pro/remote/dispatcher/state_purchase_view/62952526", "UA-2025-10-24-012174-a")</f>
        <v>UA-2025-10-24-012174-a</v>
      </c>
      <c r="C406" s="1" t="s">
        <v>1983</v>
      </c>
      <c r="D406" s="1" t="s">
        <v>1304</v>
      </c>
      <c r="E406" s="1" t="s">
        <v>1553</v>
      </c>
      <c r="F406" s="1" t="s">
        <v>87</v>
      </c>
      <c r="G406" s="1" t="s">
        <v>2098</v>
      </c>
      <c r="H406" s="1" t="s">
        <v>935</v>
      </c>
      <c r="I406" s="1" t="s">
        <v>285</v>
      </c>
      <c r="J406" s="6">
        <v>2300</v>
      </c>
      <c r="K406" s="5">
        <v>45951</v>
      </c>
      <c r="L406" s="7">
        <v>46022</v>
      </c>
    </row>
    <row r="407" spans="1:12" hidden="1" x14ac:dyDescent="0.25">
      <c r="A407" s="4">
        <v>401</v>
      </c>
      <c r="B407" s="2" t="str">
        <f>HYPERLINK("https://my.zakupivli.pro/remote/dispatcher/state_purchase_view/62951482", "UA-2025-10-24-011646-a")</f>
        <v>UA-2025-10-24-011646-a</v>
      </c>
      <c r="C407" s="1" t="s">
        <v>1505</v>
      </c>
      <c r="D407" s="1" t="s">
        <v>626</v>
      </c>
      <c r="E407" s="1" t="s">
        <v>1553</v>
      </c>
      <c r="F407" s="1" t="s">
        <v>87</v>
      </c>
      <c r="G407" s="1" t="s">
        <v>1623</v>
      </c>
      <c r="H407" s="1" t="s">
        <v>579</v>
      </c>
      <c r="I407" s="1" t="s">
        <v>966</v>
      </c>
      <c r="J407" s="6">
        <v>49990</v>
      </c>
      <c r="K407" s="5">
        <v>45951</v>
      </c>
      <c r="L407" s="7">
        <v>46022</v>
      </c>
    </row>
    <row r="408" spans="1:12" hidden="1" x14ac:dyDescent="0.25">
      <c r="A408" s="4">
        <v>402</v>
      </c>
      <c r="B408" s="2" t="str">
        <f>HYPERLINK("https://my.zakupivli.pro/remote/dispatcher/state_purchase_view/62949536", "UA-2025-10-24-010799-a")</f>
        <v>UA-2025-10-24-010799-a</v>
      </c>
      <c r="C408" s="1" t="s">
        <v>1514</v>
      </c>
      <c r="D408" s="1" t="s">
        <v>706</v>
      </c>
      <c r="E408" s="1" t="s">
        <v>1553</v>
      </c>
      <c r="F408" s="1" t="s">
        <v>87</v>
      </c>
      <c r="G408" s="1" t="s">
        <v>2257</v>
      </c>
      <c r="H408" s="1" t="s">
        <v>587</v>
      </c>
      <c r="I408" s="1" t="s">
        <v>1177</v>
      </c>
      <c r="J408" s="6">
        <v>379200</v>
      </c>
      <c r="K408" s="5">
        <v>45973</v>
      </c>
      <c r="L408" s="7">
        <v>46112</v>
      </c>
    </row>
    <row r="409" spans="1:12" hidden="1" x14ac:dyDescent="0.25">
      <c r="A409" s="4">
        <v>403</v>
      </c>
      <c r="B409" s="2" t="str">
        <f>HYPERLINK("https://my.zakupivli.pro/remote/dispatcher/state_purchase_view/62937497", "UA-2025-10-24-005372-a")</f>
        <v>UA-2025-10-24-005372-a</v>
      </c>
      <c r="C409" s="1" t="s">
        <v>1924</v>
      </c>
      <c r="D409" s="1" t="s">
        <v>1138</v>
      </c>
      <c r="E409" s="1" t="s">
        <v>1553</v>
      </c>
      <c r="F409" s="1" t="s">
        <v>87</v>
      </c>
      <c r="G409" s="1" t="s">
        <v>2116</v>
      </c>
      <c r="H409" s="1" t="s">
        <v>715</v>
      </c>
      <c r="I409" s="1" t="s">
        <v>969</v>
      </c>
      <c r="J409" s="6">
        <v>4604</v>
      </c>
      <c r="K409" s="5">
        <v>45950</v>
      </c>
      <c r="L409" s="7">
        <v>46022</v>
      </c>
    </row>
    <row r="410" spans="1:12" hidden="1" x14ac:dyDescent="0.25">
      <c r="A410" s="4">
        <v>404</v>
      </c>
      <c r="B410" s="2" t="str">
        <f>HYPERLINK("https://my.zakupivli.pro/remote/dispatcher/state_purchase_view/62936734", "UA-2025-10-24-005028-a")</f>
        <v>UA-2025-10-24-005028-a</v>
      </c>
      <c r="C410" s="1" t="s">
        <v>2029</v>
      </c>
      <c r="D410" s="1" t="s">
        <v>666</v>
      </c>
      <c r="E410" s="1" t="s">
        <v>1553</v>
      </c>
      <c r="F410" s="1" t="s">
        <v>87</v>
      </c>
      <c r="G410" s="1" t="s">
        <v>1743</v>
      </c>
      <c r="H410" s="1" t="s">
        <v>538</v>
      </c>
      <c r="I410" s="1" t="s">
        <v>968</v>
      </c>
      <c r="J410" s="6">
        <v>84281</v>
      </c>
      <c r="K410" s="5">
        <v>45953</v>
      </c>
      <c r="L410" s="7">
        <v>46022</v>
      </c>
    </row>
    <row r="411" spans="1:12" hidden="1" x14ac:dyDescent="0.25">
      <c r="A411" s="4">
        <v>405</v>
      </c>
      <c r="B411" s="2" t="str">
        <f>HYPERLINK("https://my.zakupivli.pro/remote/dispatcher/state_purchase_view/62844833", "UA-2025-10-21-014994-a")</f>
        <v>UA-2025-10-21-014994-a</v>
      </c>
      <c r="C411" s="1" t="s">
        <v>1463</v>
      </c>
      <c r="D411" s="1" t="s">
        <v>910</v>
      </c>
      <c r="E411" s="1" t="s">
        <v>1553</v>
      </c>
      <c r="F411" s="1" t="s">
        <v>87</v>
      </c>
      <c r="G411" s="1" t="s">
        <v>2021</v>
      </c>
      <c r="H411" s="1" t="s">
        <v>535</v>
      </c>
      <c r="I411" s="1" t="s">
        <v>956</v>
      </c>
      <c r="J411" s="6">
        <v>6988.32</v>
      </c>
      <c r="K411" s="5">
        <v>45950</v>
      </c>
      <c r="L411" s="7">
        <v>46022</v>
      </c>
    </row>
    <row r="412" spans="1:12" hidden="1" x14ac:dyDescent="0.25">
      <c r="A412" s="4">
        <v>406</v>
      </c>
      <c r="B412" s="2" t="str">
        <f>HYPERLINK("https://my.zakupivli.pro/remote/dispatcher/state_purchase_view/62844363", "UA-2025-10-21-014682-a")</f>
        <v>UA-2025-10-21-014682-a</v>
      </c>
      <c r="C412" s="1" t="s">
        <v>2186</v>
      </c>
      <c r="D412" s="1" t="s">
        <v>678</v>
      </c>
      <c r="E412" s="1" t="s">
        <v>1553</v>
      </c>
      <c r="F412" s="1" t="s">
        <v>87</v>
      </c>
      <c r="G412" s="1"/>
      <c r="H412" s="1"/>
      <c r="I412" s="1"/>
      <c r="J412" s="1"/>
      <c r="K412" s="1" t="s">
        <v>53</v>
      </c>
      <c r="L412" s="1"/>
    </row>
    <row r="413" spans="1:12" hidden="1" x14ac:dyDescent="0.25">
      <c r="A413" s="4">
        <v>407</v>
      </c>
      <c r="B413" s="2" t="str">
        <f>HYPERLINK("https://my.zakupivli.pro/remote/dispatcher/state_purchase_view/62834897", "UA-2025-10-21-010301-a")</f>
        <v>UA-2025-10-21-010301-a</v>
      </c>
      <c r="C413" s="1" t="s">
        <v>1386</v>
      </c>
      <c r="D413" s="1" t="s">
        <v>639</v>
      </c>
      <c r="E413" s="1" t="s">
        <v>1553</v>
      </c>
      <c r="F413" s="1" t="s">
        <v>87</v>
      </c>
      <c r="G413" s="1" t="s">
        <v>2068</v>
      </c>
      <c r="H413" s="1" t="s">
        <v>534</v>
      </c>
      <c r="I413" s="1" t="s">
        <v>960</v>
      </c>
      <c r="J413" s="6">
        <v>4600</v>
      </c>
      <c r="K413" s="5">
        <v>45947</v>
      </c>
      <c r="L413" s="7">
        <v>46022</v>
      </c>
    </row>
    <row r="414" spans="1:12" hidden="1" x14ac:dyDescent="0.25">
      <c r="A414" s="4">
        <v>408</v>
      </c>
      <c r="B414" s="2" t="str">
        <f>HYPERLINK("https://my.zakupivli.pro/remote/dispatcher/state_purchase_view/62751295", "UA-2025-10-17-005985-a")</f>
        <v>UA-2025-10-17-005985-a</v>
      </c>
      <c r="C414" s="1" t="s">
        <v>1934</v>
      </c>
      <c r="D414" s="1" t="s">
        <v>266</v>
      </c>
      <c r="E414" s="1" t="s">
        <v>1553</v>
      </c>
      <c r="F414" s="1" t="s">
        <v>87</v>
      </c>
      <c r="G414" s="1" t="s">
        <v>2071</v>
      </c>
      <c r="H414" s="1" t="s">
        <v>1018</v>
      </c>
      <c r="I414" s="1" t="s">
        <v>373</v>
      </c>
      <c r="J414" s="6">
        <v>69993</v>
      </c>
      <c r="K414" s="5">
        <v>45957</v>
      </c>
      <c r="L414" s="7">
        <v>45994</v>
      </c>
    </row>
    <row r="415" spans="1:12" hidden="1" x14ac:dyDescent="0.25">
      <c r="A415" s="4">
        <v>409</v>
      </c>
      <c r="B415" s="2" t="str">
        <f>HYPERLINK("https://my.zakupivli.pro/remote/dispatcher/state_purchase_view/62708123", "UA-2025-10-16-003812-a")</f>
        <v>UA-2025-10-16-003812-a</v>
      </c>
      <c r="C415" s="1" t="s">
        <v>1998</v>
      </c>
      <c r="D415" s="1" t="s">
        <v>736</v>
      </c>
      <c r="E415" s="1" t="s">
        <v>1553</v>
      </c>
      <c r="F415" s="1" t="s">
        <v>87</v>
      </c>
      <c r="G415" s="1" t="s">
        <v>2163</v>
      </c>
      <c r="H415" s="1" t="s">
        <v>973</v>
      </c>
      <c r="I415" s="1" t="s">
        <v>1004</v>
      </c>
      <c r="J415" s="6">
        <v>204197.73</v>
      </c>
      <c r="K415" s="5">
        <v>45964</v>
      </c>
      <c r="L415" s="7">
        <v>46028</v>
      </c>
    </row>
    <row r="416" spans="1:12" hidden="1" x14ac:dyDescent="0.25">
      <c r="A416" s="4">
        <v>410</v>
      </c>
      <c r="B416" s="2" t="str">
        <f>HYPERLINK("https://my.zakupivli.pro/remote/dispatcher/state_purchase_view/62671845", "UA-2025-10-15-004234-a")</f>
        <v>UA-2025-10-15-004234-a</v>
      </c>
      <c r="C416" s="1" t="s">
        <v>1967</v>
      </c>
      <c r="D416" s="1" t="s">
        <v>1304</v>
      </c>
      <c r="E416" s="1" t="s">
        <v>1553</v>
      </c>
      <c r="F416" s="1" t="s">
        <v>87</v>
      </c>
      <c r="G416" s="1" t="s">
        <v>2127</v>
      </c>
      <c r="H416" s="1" t="s">
        <v>841</v>
      </c>
      <c r="I416" s="1" t="s">
        <v>1309</v>
      </c>
      <c r="J416" s="6">
        <v>960</v>
      </c>
      <c r="K416" s="5">
        <v>45943</v>
      </c>
      <c r="L416" s="7">
        <v>46022</v>
      </c>
    </row>
    <row r="417" spans="1:12" hidden="1" x14ac:dyDescent="0.25">
      <c r="A417" s="4">
        <v>411</v>
      </c>
      <c r="B417" s="2" t="str">
        <f>HYPERLINK("https://my.zakupivli.pro/remote/dispatcher/state_purchase_view/62668130", "UA-2025-10-15-002661-a")</f>
        <v>UA-2025-10-15-002661-a</v>
      </c>
      <c r="C417" s="1" t="s">
        <v>1969</v>
      </c>
      <c r="D417" s="1" t="s">
        <v>1304</v>
      </c>
      <c r="E417" s="1" t="s">
        <v>1553</v>
      </c>
      <c r="F417" s="1" t="s">
        <v>87</v>
      </c>
      <c r="G417" s="1" t="s">
        <v>2123</v>
      </c>
      <c r="H417" s="1" t="s">
        <v>1056</v>
      </c>
      <c r="I417" s="1" t="s">
        <v>954</v>
      </c>
      <c r="J417" s="6">
        <v>6699</v>
      </c>
      <c r="K417" s="5">
        <v>45943</v>
      </c>
      <c r="L417" s="7">
        <v>46022</v>
      </c>
    </row>
    <row r="418" spans="1:12" hidden="1" x14ac:dyDescent="0.25">
      <c r="A418" s="4">
        <v>412</v>
      </c>
      <c r="B418" s="2" t="str">
        <f>HYPERLINK("https://my.zakupivli.pro/remote/dispatcher/state_purchase_view/62666604", "UA-2025-10-15-001937-a")</f>
        <v>UA-2025-10-15-001937-a</v>
      </c>
      <c r="C418" s="1" t="s">
        <v>1735</v>
      </c>
      <c r="D418" s="1" t="s">
        <v>1292</v>
      </c>
      <c r="E418" s="1" t="s">
        <v>1553</v>
      </c>
      <c r="F418" s="1" t="s">
        <v>87</v>
      </c>
      <c r="G418" s="1" t="s">
        <v>1762</v>
      </c>
      <c r="H418" s="1" t="s">
        <v>821</v>
      </c>
      <c r="I418" s="1" t="s">
        <v>473</v>
      </c>
      <c r="J418" s="6">
        <v>1200</v>
      </c>
      <c r="K418" s="5">
        <v>45945</v>
      </c>
      <c r="L418" s="7">
        <v>46022</v>
      </c>
    </row>
    <row r="419" spans="1:12" hidden="1" x14ac:dyDescent="0.25">
      <c r="A419" s="4">
        <v>413</v>
      </c>
      <c r="B419" s="2" t="str">
        <f>HYPERLINK("https://my.zakupivli.pro/remote/dispatcher/state_purchase_view/62664475", "UA-2025-10-15-001021-a")</f>
        <v>UA-2025-10-15-001021-a</v>
      </c>
      <c r="C419" s="1" t="s">
        <v>1968</v>
      </c>
      <c r="D419" s="1" t="s">
        <v>1304</v>
      </c>
      <c r="E419" s="1" t="s">
        <v>1553</v>
      </c>
      <c r="F419" s="1" t="s">
        <v>87</v>
      </c>
      <c r="G419" s="1" t="s">
        <v>1563</v>
      </c>
      <c r="H419" s="1" t="s">
        <v>115</v>
      </c>
      <c r="I419" s="1" t="s">
        <v>213</v>
      </c>
      <c r="J419" s="6">
        <v>445</v>
      </c>
      <c r="K419" s="5">
        <v>45940</v>
      </c>
      <c r="L419" s="7">
        <v>46022</v>
      </c>
    </row>
    <row r="420" spans="1:12" hidden="1" x14ac:dyDescent="0.25">
      <c r="A420" s="4">
        <v>414</v>
      </c>
      <c r="B420" s="2" t="str">
        <f>HYPERLINK("https://my.zakupivli.pro/remote/dispatcher/state_purchase_view/62664206", "UA-2025-10-15-000877-a")</f>
        <v>UA-2025-10-15-000877-a</v>
      </c>
      <c r="C420" s="1" t="s">
        <v>1970</v>
      </c>
      <c r="D420" s="1" t="s">
        <v>1304</v>
      </c>
      <c r="E420" s="1" t="s">
        <v>1553</v>
      </c>
      <c r="F420" s="1" t="s">
        <v>87</v>
      </c>
      <c r="G420" s="1" t="s">
        <v>1563</v>
      </c>
      <c r="H420" s="1" t="s">
        <v>115</v>
      </c>
      <c r="I420" s="1" t="s">
        <v>214</v>
      </c>
      <c r="J420" s="6">
        <v>1780</v>
      </c>
      <c r="K420" s="5">
        <v>45940</v>
      </c>
      <c r="L420" s="7">
        <v>46022</v>
      </c>
    </row>
    <row r="421" spans="1:12" hidden="1" x14ac:dyDescent="0.25">
      <c r="A421" s="4">
        <v>415</v>
      </c>
      <c r="B421" s="2" t="str">
        <f>HYPERLINK("https://my.zakupivli.pro/remote/dispatcher/state_purchase_view/62579067", "UA-2025-10-10-010958-a")</f>
        <v>UA-2025-10-10-010958-a</v>
      </c>
      <c r="C421" s="1" t="s">
        <v>1349</v>
      </c>
      <c r="D421" s="1" t="s">
        <v>736</v>
      </c>
      <c r="E421" s="1" t="s">
        <v>1553</v>
      </c>
      <c r="F421" s="1" t="s">
        <v>87</v>
      </c>
      <c r="G421" s="1" t="s">
        <v>2163</v>
      </c>
      <c r="H421" s="1" t="s">
        <v>973</v>
      </c>
      <c r="I421" s="1" t="s">
        <v>992</v>
      </c>
      <c r="J421" s="6">
        <v>104967</v>
      </c>
      <c r="K421" s="5">
        <v>45961</v>
      </c>
      <c r="L421" s="7">
        <v>46028</v>
      </c>
    </row>
    <row r="422" spans="1:12" hidden="1" x14ac:dyDescent="0.25">
      <c r="A422" s="4">
        <v>416</v>
      </c>
      <c r="B422" s="2" t="str">
        <f>HYPERLINK("https://my.zakupivli.pro/remote/dispatcher/state_purchase_view/62573453", "UA-2025-10-10-008336-a")</f>
        <v>UA-2025-10-10-008336-a</v>
      </c>
      <c r="C422" s="1" t="s">
        <v>1997</v>
      </c>
      <c r="D422" s="1" t="s">
        <v>736</v>
      </c>
      <c r="E422" s="1" t="s">
        <v>1553</v>
      </c>
      <c r="F422" s="1" t="s">
        <v>87</v>
      </c>
      <c r="G422" s="1" t="s">
        <v>2222</v>
      </c>
      <c r="H422" s="1" t="s">
        <v>771</v>
      </c>
      <c r="I422" s="1" t="s">
        <v>990</v>
      </c>
      <c r="J422" s="6">
        <v>102456.96000000001</v>
      </c>
      <c r="K422" s="5">
        <v>45961</v>
      </c>
      <c r="L422" s="7">
        <v>46022</v>
      </c>
    </row>
    <row r="423" spans="1:12" hidden="1" x14ac:dyDescent="0.25">
      <c r="A423" s="4">
        <v>417</v>
      </c>
      <c r="B423" s="2" t="str">
        <f>HYPERLINK("https://my.zakupivli.pro/remote/dispatcher/state_purchase_view/62540353", "UA-2025-10-09-009843-a")</f>
        <v>UA-2025-10-09-009843-a</v>
      </c>
      <c r="C423" s="1" t="s">
        <v>1466</v>
      </c>
      <c r="D423" s="1" t="s">
        <v>347</v>
      </c>
      <c r="E423" s="1" t="s">
        <v>1553</v>
      </c>
      <c r="F423" s="1" t="s">
        <v>87</v>
      </c>
      <c r="G423" s="1" t="s">
        <v>1428</v>
      </c>
      <c r="H423" s="1" t="s">
        <v>587</v>
      </c>
      <c r="I423" s="1" t="s">
        <v>1103</v>
      </c>
      <c r="J423" s="6">
        <v>16500</v>
      </c>
      <c r="K423" s="5">
        <v>45939</v>
      </c>
      <c r="L423" s="7">
        <v>46022</v>
      </c>
    </row>
    <row r="424" spans="1:12" hidden="1" x14ac:dyDescent="0.25">
      <c r="A424" s="4">
        <v>418</v>
      </c>
      <c r="B424" s="2" t="str">
        <f>HYPERLINK("https://my.zakupivli.pro/remote/dispatcher/state_purchase_view/62539267", "UA-2025-10-09-009409-a")</f>
        <v>UA-2025-10-09-009409-a</v>
      </c>
      <c r="C424" s="1" t="s">
        <v>1611</v>
      </c>
      <c r="D424" s="1" t="s">
        <v>1198</v>
      </c>
      <c r="E424" s="1" t="s">
        <v>1553</v>
      </c>
      <c r="F424" s="1" t="s">
        <v>87</v>
      </c>
      <c r="G424" s="1" t="s">
        <v>1427</v>
      </c>
      <c r="H424" s="1" t="s">
        <v>76</v>
      </c>
      <c r="I424" s="1" t="s">
        <v>951</v>
      </c>
      <c r="J424" s="6">
        <v>2640.8</v>
      </c>
      <c r="K424" s="5">
        <v>45939</v>
      </c>
      <c r="L424" s="7">
        <v>46022</v>
      </c>
    </row>
    <row r="425" spans="1:12" hidden="1" x14ac:dyDescent="0.25">
      <c r="A425" s="4">
        <v>419</v>
      </c>
      <c r="B425" s="2" t="str">
        <f>HYPERLINK("https://my.zakupivli.pro/remote/dispatcher/state_purchase_view/62537644", "UA-2025-10-09-008596-a")</f>
        <v>UA-2025-10-09-008596-a</v>
      </c>
      <c r="C425" s="1" t="s">
        <v>1903</v>
      </c>
      <c r="D425" s="1" t="s">
        <v>1311</v>
      </c>
      <c r="E425" s="1" t="s">
        <v>1553</v>
      </c>
      <c r="F425" s="1" t="s">
        <v>87</v>
      </c>
      <c r="G425" s="1" t="s">
        <v>1556</v>
      </c>
      <c r="H425" s="1" t="s">
        <v>88</v>
      </c>
      <c r="I425" s="1" t="s">
        <v>584</v>
      </c>
      <c r="J425" s="6">
        <v>17045</v>
      </c>
      <c r="K425" s="5">
        <v>45933</v>
      </c>
      <c r="L425" s="7">
        <v>46022</v>
      </c>
    </row>
    <row r="426" spans="1:12" hidden="1" x14ac:dyDescent="0.25">
      <c r="A426" s="4">
        <v>420</v>
      </c>
      <c r="B426" s="2" t="str">
        <f>HYPERLINK("https://my.zakupivli.pro/remote/dispatcher/state_purchase_view/62530198", "UA-2025-10-09-005303-a")</f>
        <v>UA-2025-10-09-005303-a</v>
      </c>
      <c r="C426" s="1" t="s">
        <v>1857</v>
      </c>
      <c r="D426" s="1" t="s">
        <v>1157</v>
      </c>
      <c r="E426" s="1" t="s">
        <v>1553</v>
      </c>
      <c r="F426" s="1" t="s">
        <v>87</v>
      </c>
      <c r="G426" s="1" t="s">
        <v>2212</v>
      </c>
      <c r="H426" s="1" t="s">
        <v>934</v>
      </c>
      <c r="I426" s="1" t="s">
        <v>2267</v>
      </c>
      <c r="J426" s="6">
        <v>3000</v>
      </c>
      <c r="K426" s="5">
        <v>45931</v>
      </c>
      <c r="L426" s="7">
        <v>46022</v>
      </c>
    </row>
    <row r="427" spans="1:12" hidden="1" x14ac:dyDescent="0.25">
      <c r="A427" s="4">
        <v>421</v>
      </c>
      <c r="B427" s="2" t="str">
        <f>HYPERLINK("https://my.zakupivli.pro/remote/dispatcher/state_purchase_view/62527321", "UA-2025-10-09-003959-a")</f>
        <v>UA-2025-10-09-003959-a</v>
      </c>
      <c r="C427" s="1" t="s">
        <v>1937</v>
      </c>
      <c r="D427" s="1" t="s">
        <v>856</v>
      </c>
      <c r="E427" s="1" t="s">
        <v>1553</v>
      </c>
      <c r="F427" s="1" t="s">
        <v>87</v>
      </c>
      <c r="G427" s="1" t="s">
        <v>2111</v>
      </c>
      <c r="H427" s="1" t="s">
        <v>460</v>
      </c>
      <c r="I427" s="1" t="s">
        <v>119</v>
      </c>
      <c r="J427" s="6">
        <v>5000</v>
      </c>
      <c r="K427" s="5">
        <v>45939</v>
      </c>
      <c r="L427" s="7">
        <v>46022</v>
      </c>
    </row>
    <row r="428" spans="1:12" hidden="1" x14ac:dyDescent="0.25">
      <c r="A428" s="4">
        <v>422</v>
      </c>
      <c r="B428" s="2" t="str">
        <f>HYPERLINK("https://my.zakupivli.pro/remote/dispatcher/state_purchase_view/62525980", "UA-2025-10-09-003349-a")</f>
        <v>UA-2025-10-09-003349-a</v>
      </c>
      <c r="C428" s="1" t="s">
        <v>1520</v>
      </c>
      <c r="D428" s="1" t="s">
        <v>648</v>
      </c>
      <c r="E428" s="1" t="s">
        <v>1553</v>
      </c>
      <c r="F428" s="1" t="s">
        <v>87</v>
      </c>
      <c r="G428" s="1" t="s">
        <v>1581</v>
      </c>
      <c r="H428" s="1" t="s">
        <v>559</v>
      </c>
      <c r="I428" s="1" t="s">
        <v>950</v>
      </c>
      <c r="J428" s="6">
        <v>5880</v>
      </c>
      <c r="K428" s="5">
        <v>45939</v>
      </c>
      <c r="L428" s="7">
        <v>46022</v>
      </c>
    </row>
    <row r="429" spans="1:12" hidden="1" x14ac:dyDescent="0.25">
      <c r="A429" s="4">
        <v>423</v>
      </c>
      <c r="B429" s="2" t="str">
        <f>HYPERLINK("https://my.zakupivli.pro/remote/dispatcher/state_purchase_view/62493320", "UA-2025-10-08-004196-a")</f>
        <v>UA-2025-10-08-004196-a</v>
      </c>
      <c r="C429" s="1" t="s">
        <v>1867</v>
      </c>
      <c r="D429" s="1" t="s">
        <v>1162</v>
      </c>
      <c r="E429" s="1" t="s">
        <v>1553</v>
      </c>
      <c r="F429" s="1" t="s">
        <v>87</v>
      </c>
      <c r="G429" s="1" t="s">
        <v>2140</v>
      </c>
      <c r="H429" s="1" t="s">
        <v>825</v>
      </c>
      <c r="I429" s="1" t="s">
        <v>477</v>
      </c>
      <c r="J429" s="6">
        <v>32977</v>
      </c>
      <c r="K429" s="5">
        <v>45933</v>
      </c>
      <c r="L429" s="7">
        <v>46022</v>
      </c>
    </row>
    <row r="430" spans="1:12" hidden="1" x14ac:dyDescent="0.25">
      <c r="A430" s="4">
        <v>424</v>
      </c>
      <c r="B430" s="2" t="str">
        <f>HYPERLINK("https://my.zakupivli.pro/remote/dispatcher/state_purchase_view/62491404", "UA-2025-10-08-003357-a")</f>
        <v>UA-2025-10-08-003357-a</v>
      </c>
      <c r="C430" s="1" t="s">
        <v>1510</v>
      </c>
      <c r="D430" s="1" t="s">
        <v>638</v>
      </c>
      <c r="E430" s="1" t="s">
        <v>1553</v>
      </c>
      <c r="F430" s="1" t="s">
        <v>87</v>
      </c>
      <c r="G430" s="1" t="s">
        <v>2121</v>
      </c>
      <c r="H430" s="1" t="s">
        <v>675</v>
      </c>
      <c r="I430" s="1" t="s">
        <v>939</v>
      </c>
      <c r="J430" s="6">
        <v>2690</v>
      </c>
      <c r="K430" s="5">
        <v>45938</v>
      </c>
      <c r="L430" s="7">
        <v>46022</v>
      </c>
    </row>
    <row r="431" spans="1:12" hidden="1" x14ac:dyDescent="0.25">
      <c r="A431" s="4">
        <v>425</v>
      </c>
      <c r="B431" s="2" t="str">
        <f>HYPERLINK("https://my.zakupivli.pro/remote/dispatcher/state_purchase_view/62474246", "UA-2025-10-07-011237-a")</f>
        <v>UA-2025-10-07-011237-a</v>
      </c>
      <c r="C431" s="1" t="s">
        <v>1392</v>
      </c>
      <c r="D431" s="1" t="s">
        <v>1253</v>
      </c>
      <c r="E431" s="1" t="s">
        <v>1553</v>
      </c>
      <c r="F431" s="1" t="s">
        <v>87</v>
      </c>
      <c r="G431" s="1" t="s">
        <v>1480</v>
      </c>
      <c r="H431" s="1" t="s">
        <v>112</v>
      </c>
      <c r="I431" s="1" t="s">
        <v>1406</v>
      </c>
      <c r="J431" s="6">
        <v>228690</v>
      </c>
      <c r="K431" s="5">
        <v>45954</v>
      </c>
      <c r="L431" s="7">
        <v>46112</v>
      </c>
    </row>
    <row r="432" spans="1:12" hidden="1" x14ac:dyDescent="0.25">
      <c r="A432" s="4">
        <v>426</v>
      </c>
      <c r="B432" s="2" t="str">
        <f>HYPERLINK("https://my.zakupivli.pro/remote/dispatcher/state_purchase_view/62470090", "UA-2025-10-07-009403-a")</f>
        <v>UA-2025-10-07-009403-a</v>
      </c>
      <c r="C432" s="1" t="s">
        <v>1534</v>
      </c>
      <c r="D432" s="1" t="s">
        <v>758</v>
      </c>
      <c r="E432" s="1" t="s">
        <v>1553</v>
      </c>
      <c r="F432" s="1" t="s">
        <v>87</v>
      </c>
      <c r="G432" s="1" t="s">
        <v>1645</v>
      </c>
      <c r="H432" s="1" t="s">
        <v>801</v>
      </c>
      <c r="I432" s="1" t="s">
        <v>944</v>
      </c>
      <c r="J432" s="6">
        <v>2525</v>
      </c>
      <c r="K432" s="5">
        <v>45937</v>
      </c>
      <c r="L432" s="7">
        <v>46022</v>
      </c>
    </row>
    <row r="433" spans="1:12" hidden="1" x14ac:dyDescent="0.25">
      <c r="A433" s="4">
        <v>427</v>
      </c>
      <c r="B433" s="2" t="str">
        <f>HYPERLINK("https://my.zakupivli.pro/remote/dispatcher/state_purchase_view/62469166", "UA-2025-10-07-008940-a")</f>
        <v>UA-2025-10-07-008940-a</v>
      </c>
      <c r="C433" s="1" t="s">
        <v>1673</v>
      </c>
      <c r="D433" s="1" t="s">
        <v>757</v>
      </c>
      <c r="E433" s="1" t="s">
        <v>1553</v>
      </c>
      <c r="F433" s="1" t="s">
        <v>87</v>
      </c>
      <c r="G433" s="1" t="s">
        <v>1645</v>
      </c>
      <c r="H433" s="1" t="s">
        <v>801</v>
      </c>
      <c r="I433" s="1" t="s">
        <v>941</v>
      </c>
      <c r="J433" s="6">
        <v>30590</v>
      </c>
      <c r="K433" s="5">
        <v>45937</v>
      </c>
      <c r="L433" s="7">
        <v>46022</v>
      </c>
    </row>
    <row r="434" spans="1:12" hidden="1" x14ac:dyDescent="0.25">
      <c r="A434" s="4">
        <v>428</v>
      </c>
      <c r="B434" s="2" t="str">
        <f>HYPERLINK("https://my.zakupivli.pro/remote/dispatcher/state_purchase_view/62460527", "UA-2025-10-07-005239-a")</f>
        <v>UA-2025-10-07-005239-a</v>
      </c>
      <c r="C434" s="1" t="s">
        <v>1589</v>
      </c>
      <c r="D434" s="1" t="s">
        <v>493</v>
      </c>
      <c r="E434" s="1" t="s">
        <v>1553</v>
      </c>
      <c r="F434" s="1" t="s">
        <v>87</v>
      </c>
      <c r="G434" s="1" t="s">
        <v>1644</v>
      </c>
      <c r="H434" s="1" t="s">
        <v>324</v>
      </c>
      <c r="I434" s="1" t="s">
        <v>908</v>
      </c>
      <c r="J434" s="6">
        <v>2433.6</v>
      </c>
      <c r="K434" s="5">
        <v>45932</v>
      </c>
      <c r="L434" s="7">
        <v>46022</v>
      </c>
    </row>
    <row r="435" spans="1:12" hidden="1" x14ac:dyDescent="0.25">
      <c r="A435" s="4">
        <v>429</v>
      </c>
      <c r="B435" s="2" t="str">
        <f>HYPERLINK("https://my.zakupivli.pro/remote/dispatcher/state_purchase_view/62459324", "UA-2025-10-07-004729-a")</f>
        <v>UA-2025-10-07-004729-a</v>
      </c>
      <c r="C435" s="1" t="s">
        <v>1465</v>
      </c>
      <c r="D435" s="1" t="s">
        <v>768</v>
      </c>
      <c r="E435" s="1" t="s">
        <v>1553</v>
      </c>
      <c r="F435" s="1" t="s">
        <v>87</v>
      </c>
      <c r="G435" s="1" t="s">
        <v>1623</v>
      </c>
      <c r="H435" s="1" t="s">
        <v>579</v>
      </c>
      <c r="I435" s="1" t="s">
        <v>891</v>
      </c>
      <c r="J435" s="6">
        <v>5111</v>
      </c>
      <c r="K435" s="5">
        <v>45931</v>
      </c>
      <c r="L435" s="7">
        <v>46022</v>
      </c>
    </row>
    <row r="436" spans="1:12" hidden="1" x14ac:dyDescent="0.25">
      <c r="A436" s="4">
        <v>430</v>
      </c>
      <c r="B436" s="2" t="str">
        <f>HYPERLINK("https://my.zakupivli.pro/remote/dispatcher/state_purchase_view/62458397", "UA-2025-10-07-004273-a")</f>
        <v>UA-2025-10-07-004273-a</v>
      </c>
      <c r="C436" s="1" t="s">
        <v>2183</v>
      </c>
      <c r="D436" s="1" t="s">
        <v>916</v>
      </c>
      <c r="E436" s="1" t="s">
        <v>1553</v>
      </c>
      <c r="F436" s="1" t="s">
        <v>87</v>
      </c>
      <c r="G436" s="1" t="s">
        <v>1623</v>
      </c>
      <c r="H436" s="1" t="s">
        <v>579</v>
      </c>
      <c r="I436" s="1" t="s">
        <v>900</v>
      </c>
      <c r="J436" s="6">
        <v>1596</v>
      </c>
      <c r="K436" s="5">
        <v>45931</v>
      </c>
      <c r="L436" s="7">
        <v>46022</v>
      </c>
    </row>
    <row r="437" spans="1:12" hidden="1" x14ac:dyDescent="0.25">
      <c r="A437" s="4">
        <v>431</v>
      </c>
      <c r="B437" s="2" t="str">
        <f>HYPERLINK("https://my.zakupivli.pro/remote/dispatcher/state_purchase_view/62453637", "UA-2025-10-07-002186-a")</f>
        <v>UA-2025-10-07-002186-a</v>
      </c>
      <c r="C437" s="1" t="s">
        <v>1572</v>
      </c>
      <c r="D437" s="1" t="s">
        <v>1138</v>
      </c>
      <c r="E437" s="1" t="s">
        <v>1553</v>
      </c>
      <c r="F437" s="1" t="s">
        <v>87</v>
      </c>
      <c r="G437" s="1" t="s">
        <v>2016</v>
      </c>
      <c r="H437" s="1" t="s">
        <v>462</v>
      </c>
      <c r="I437" s="1" t="s">
        <v>306</v>
      </c>
      <c r="J437" s="6">
        <v>56970</v>
      </c>
      <c r="K437" s="5">
        <v>45930</v>
      </c>
      <c r="L437" s="7">
        <v>46022</v>
      </c>
    </row>
    <row r="438" spans="1:12" hidden="1" x14ac:dyDescent="0.25">
      <c r="A438" s="4">
        <v>432</v>
      </c>
      <c r="B438" s="2" t="str">
        <f>HYPERLINK("https://my.zakupivli.pro/remote/dispatcher/state_purchase_view/62451274", "UA-2025-10-07-001193-a")</f>
        <v>UA-2025-10-07-001193-a</v>
      </c>
      <c r="C438" s="1" t="s">
        <v>1611</v>
      </c>
      <c r="D438" s="1" t="s">
        <v>1198</v>
      </c>
      <c r="E438" s="1" t="s">
        <v>1553</v>
      </c>
      <c r="F438" s="1" t="s">
        <v>87</v>
      </c>
      <c r="G438" s="1" t="s">
        <v>1766</v>
      </c>
      <c r="H438" s="1" t="s">
        <v>77</v>
      </c>
      <c r="I438" s="1" t="s">
        <v>186</v>
      </c>
      <c r="J438" s="6">
        <v>30000</v>
      </c>
      <c r="K438" s="5">
        <v>45932</v>
      </c>
      <c r="L438" s="7">
        <v>46022</v>
      </c>
    </row>
    <row r="439" spans="1:12" hidden="1" x14ac:dyDescent="0.25">
      <c r="A439" s="4">
        <v>433</v>
      </c>
      <c r="B439" s="2" t="str">
        <f>HYPERLINK("https://my.zakupivli.pro/remote/dispatcher/state_purchase_view/62449540", "UA-2025-10-07-000480-a")</f>
        <v>UA-2025-10-07-000480-a</v>
      </c>
      <c r="C439" s="1" t="s">
        <v>1448</v>
      </c>
      <c r="D439" s="1" t="s">
        <v>905</v>
      </c>
      <c r="E439" s="1" t="s">
        <v>1553</v>
      </c>
      <c r="F439" s="1" t="s">
        <v>87</v>
      </c>
      <c r="G439" s="1" t="s">
        <v>1623</v>
      </c>
      <c r="H439" s="1" t="s">
        <v>579</v>
      </c>
      <c r="I439" s="1" t="s">
        <v>920</v>
      </c>
      <c r="J439" s="6">
        <v>99000</v>
      </c>
      <c r="K439" s="5">
        <v>45933</v>
      </c>
      <c r="L439" s="7">
        <v>46022</v>
      </c>
    </row>
    <row r="440" spans="1:12" hidden="1" x14ac:dyDescent="0.25">
      <c r="A440" s="4">
        <v>434</v>
      </c>
      <c r="B440" s="2" t="str">
        <f>HYPERLINK("https://my.zakupivli.pro/remote/dispatcher/state_purchase_view/62349370", "UA-2025-10-01-011222-a")</f>
        <v>UA-2025-10-01-011222-a</v>
      </c>
      <c r="C440" s="1" t="s">
        <v>1869</v>
      </c>
      <c r="D440" s="1" t="s">
        <v>1160</v>
      </c>
      <c r="E440" s="1" t="s">
        <v>1553</v>
      </c>
      <c r="F440" s="1" t="s">
        <v>87</v>
      </c>
      <c r="G440" s="1"/>
      <c r="H440" s="1"/>
      <c r="I440" s="1"/>
      <c r="J440" s="1"/>
      <c r="K440" s="1" t="s">
        <v>53</v>
      </c>
      <c r="L440" s="1"/>
    </row>
    <row r="441" spans="1:12" hidden="1" x14ac:dyDescent="0.25">
      <c r="A441" s="4">
        <v>435</v>
      </c>
      <c r="B441" s="2" t="str">
        <f>HYPERLINK("https://my.zakupivli.pro/remote/dispatcher/state_purchase_view/62346546", "UA-2025-10-01-009999-a")</f>
        <v>UA-2025-10-01-009999-a</v>
      </c>
      <c r="C441" s="1" t="s">
        <v>1974</v>
      </c>
      <c r="D441" s="1" t="s">
        <v>1304</v>
      </c>
      <c r="E441" s="1" t="s">
        <v>1553</v>
      </c>
      <c r="F441" s="1" t="s">
        <v>87</v>
      </c>
      <c r="G441" s="1" t="s">
        <v>1563</v>
      </c>
      <c r="H441" s="1" t="s">
        <v>115</v>
      </c>
      <c r="I441" s="1" t="s">
        <v>211</v>
      </c>
      <c r="J441" s="6">
        <v>2225</v>
      </c>
      <c r="K441" s="5">
        <v>45930</v>
      </c>
      <c r="L441" s="7">
        <v>46022</v>
      </c>
    </row>
    <row r="442" spans="1:12" hidden="1" x14ac:dyDescent="0.25">
      <c r="A442" s="4">
        <v>436</v>
      </c>
      <c r="B442" s="2" t="str">
        <f>HYPERLINK("https://my.zakupivli.pro/remote/dispatcher/state_purchase_view/62343717", "UA-2025-10-01-008738-a")</f>
        <v>UA-2025-10-01-008738-a</v>
      </c>
      <c r="C442" s="1" t="s">
        <v>2000</v>
      </c>
      <c r="D442" s="1" t="s">
        <v>1139</v>
      </c>
      <c r="E442" s="1" t="s">
        <v>1553</v>
      </c>
      <c r="F442" s="1" t="s">
        <v>87</v>
      </c>
      <c r="G442" s="1" t="s">
        <v>2016</v>
      </c>
      <c r="H442" s="1" t="s">
        <v>462</v>
      </c>
      <c r="I442" s="1" t="s">
        <v>304</v>
      </c>
      <c r="J442" s="6">
        <v>1500</v>
      </c>
      <c r="K442" s="5">
        <v>45924</v>
      </c>
      <c r="L442" s="7">
        <v>46022</v>
      </c>
    </row>
    <row r="443" spans="1:12" hidden="1" x14ac:dyDescent="0.25">
      <c r="A443" s="4">
        <v>437</v>
      </c>
      <c r="B443" s="2" t="str">
        <f>HYPERLINK("https://my.zakupivli.pro/remote/dispatcher/state_purchase_view/62342576", "UA-2025-10-01-008294-a")</f>
        <v>UA-2025-10-01-008294-a</v>
      </c>
      <c r="C443" s="1" t="s">
        <v>1798</v>
      </c>
      <c r="D443" s="1" t="s">
        <v>952</v>
      </c>
      <c r="E443" s="1" t="s">
        <v>1553</v>
      </c>
      <c r="F443" s="1" t="s">
        <v>87</v>
      </c>
      <c r="G443" s="1" t="s">
        <v>2148</v>
      </c>
      <c r="H443" s="1" t="s">
        <v>116</v>
      </c>
      <c r="I443" s="1" t="s">
        <v>1195</v>
      </c>
      <c r="J443" s="6">
        <v>375</v>
      </c>
      <c r="K443" s="5">
        <v>45925</v>
      </c>
      <c r="L443" s="7">
        <v>46022</v>
      </c>
    </row>
    <row r="444" spans="1:12" hidden="1" x14ac:dyDescent="0.25">
      <c r="A444" s="4">
        <v>438</v>
      </c>
      <c r="B444" s="2" t="str">
        <f>HYPERLINK("https://my.zakupivli.pro/remote/dispatcher/state_purchase_view/62341966", "UA-2025-10-01-008009-a")</f>
        <v>UA-2025-10-01-008009-a</v>
      </c>
      <c r="C444" s="1" t="s">
        <v>1588</v>
      </c>
      <c r="D444" s="1" t="s">
        <v>1026</v>
      </c>
      <c r="E444" s="1" t="s">
        <v>1553</v>
      </c>
      <c r="F444" s="1" t="s">
        <v>87</v>
      </c>
      <c r="G444" s="1" t="s">
        <v>2018</v>
      </c>
      <c r="H444" s="1" t="s">
        <v>611</v>
      </c>
      <c r="I444" s="1" t="s">
        <v>872</v>
      </c>
      <c r="J444" s="6">
        <v>2322</v>
      </c>
      <c r="K444" s="5">
        <v>45926</v>
      </c>
      <c r="L444" s="7">
        <v>46022</v>
      </c>
    </row>
    <row r="445" spans="1:12" hidden="1" x14ac:dyDescent="0.25">
      <c r="A445" s="4">
        <v>439</v>
      </c>
      <c r="B445" s="2" t="str">
        <f>HYPERLINK("https://my.zakupivli.pro/remote/dispatcher/state_purchase_view/62340067", "UA-2025-10-01-007071-a")</f>
        <v>UA-2025-10-01-007071-a</v>
      </c>
      <c r="C445" s="1" t="s">
        <v>2055</v>
      </c>
      <c r="D445" s="1" t="s">
        <v>1223</v>
      </c>
      <c r="E445" s="1" t="s">
        <v>1553</v>
      </c>
      <c r="F445" s="1" t="s">
        <v>87</v>
      </c>
      <c r="G445" s="1" t="s">
        <v>1372</v>
      </c>
      <c r="H445" s="1" t="s">
        <v>385</v>
      </c>
      <c r="I445" s="1" t="s">
        <v>81</v>
      </c>
      <c r="J445" s="6">
        <v>7035</v>
      </c>
      <c r="K445" s="5">
        <v>45922</v>
      </c>
      <c r="L445" s="7">
        <v>46022</v>
      </c>
    </row>
    <row r="446" spans="1:12" hidden="1" x14ac:dyDescent="0.25">
      <c r="A446" s="4">
        <v>440</v>
      </c>
      <c r="B446" s="2" t="str">
        <f>HYPERLINK("https://my.zakupivli.pro/remote/dispatcher/state_purchase_view/62339365", "UA-2025-10-01-006801-a")</f>
        <v>UA-2025-10-01-006801-a</v>
      </c>
      <c r="C446" s="1" t="s">
        <v>2188</v>
      </c>
      <c r="D446" s="1" t="s">
        <v>855</v>
      </c>
      <c r="E446" s="1" t="s">
        <v>1553</v>
      </c>
      <c r="F446" s="1" t="s">
        <v>87</v>
      </c>
      <c r="G446" s="1" t="s">
        <v>1624</v>
      </c>
      <c r="H446" s="1" t="s">
        <v>734</v>
      </c>
      <c r="I446" s="1" t="s">
        <v>1617</v>
      </c>
      <c r="J446" s="6">
        <v>2645</v>
      </c>
      <c r="K446" s="5">
        <v>45930</v>
      </c>
      <c r="L446" s="7">
        <v>46022</v>
      </c>
    </row>
    <row r="447" spans="1:12" hidden="1" x14ac:dyDescent="0.25">
      <c r="A447" s="4">
        <v>441</v>
      </c>
      <c r="B447" s="2" t="str">
        <f>HYPERLINK("https://my.zakupivli.pro/remote/dispatcher/state_purchase_view/62315827", "UA-2025-09-30-008034-a")</f>
        <v>UA-2025-09-30-008034-a</v>
      </c>
      <c r="C447" s="1" t="s">
        <v>1627</v>
      </c>
      <c r="D447" s="1" t="s">
        <v>888</v>
      </c>
      <c r="E447" s="1" t="s">
        <v>1553</v>
      </c>
      <c r="F447" s="1" t="s">
        <v>87</v>
      </c>
      <c r="G447" s="1" t="s">
        <v>2162</v>
      </c>
      <c r="H447" s="1" t="s">
        <v>459</v>
      </c>
      <c r="I447" s="1" t="s">
        <v>854</v>
      </c>
      <c r="J447" s="6">
        <v>92034.6</v>
      </c>
      <c r="K447" s="5">
        <v>45923</v>
      </c>
      <c r="L447" s="7">
        <v>46022</v>
      </c>
    </row>
    <row r="448" spans="1:12" hidden="1" x14ac:dyDescent="0.25">
      <c r="A448" s="4">
        <v>442</v>
      </c>
      <c r="B448" s="2" t="str">
        <f>HYPERLINK("https://my.zakupivli.pro/remote/dispatcher/state_purchase_view/62226399", "UA-2025-09-25-011106-a")</f>
        <v>UA-2025-09-25-011106-a</v>
      </c>
      <c r="C448" s="1" t="s">
        <v>1877</v>
      </c>
      <c r="D448" s="1" t="s">
        <v>1149</v>
      </c>
      <c r="E448" s="1" t="s">
        <v>1553</v>
      </c>
      <c r="F448" s="1" t="s">
        <v>87</v>
      </c>
      <c r="G448" s="1" t="s">
        <v>2149</v>
      </c>
      <c r="H448" s="1" t="s">
        <v>803</v>
      </c>
      <c r="I448" s="1" t="s">
        <v>867</v>
      </c>
      <c r="J448" s="6">
        <v>445200</v>
      </c>
      <c r="K448" s="5">
        <v>45925</v>
      </c>
      <c r="L448" s="7">
        <v>45958</v>
      </c>
    </row>
    <row r="449" spans="1:12" hidden="1" x14ac:dyDescent="0.25">
      <c r="A449" s="4">
        <v>443</v>
      </c>
      <c r="B449" s="2" t="str">
        <f>HYPERLINK("https://my.zakupivli.pro/remote/dispatcher/state_purchase_view/62195810", "UA-2025-09-24-013420-a")</f>
        <v>UA-2025-09-24-013420-a</v>
      </c>
      <c r="C449" s="1" t="s">
        <v>1535</v>
      </c>
      <c r="D449" s="1" t="s">
        <v>696</v>
      </c>
      <c r="E449" s="1" t="s">
        <v>1553</v>
      </c>
      <c r="F449" s="1" t="s">
        <v>87</v>
      </c>
      <c r="G449" s="1" t="s">
        <v>2154</v>
      </c>
      <c r="H449" s="1" t="s">
        <v>938</v>
      </c>
      <c r="I449" s="1" t="s">
        <v>576</v>
      </c>
      <c r="J449" s="6">
        <v>151950</v>
      </c>
      <c r="K449" s="5">
        <v>45924</v>
      </c>
      <c r="L449" s="7">
        <v>46022</v>
      </c>
    </row>
    <row r="450" spans="1:12" hidden="1" x14ac:dyDescent="0.25">
      <c r="A450" s="4">
        <v>444</v>
      </c>
      <c r="B450" s="2" t="str">
        <f>HYPERLINK("https://my.zakupivli.pro/remote/dispatcher/state_purchase_view/62177982", "UA-2025-09-24-005404-a")</f>
        <v>UA-2025-09-24-005404-a</v>
      </c>
      <c r="C450" s="1" t="s">
        <v>1451</v>
      </c>
      <c r="D450" s="1" t="s">
        <v>1059</v>
      </c>
      <c r="E450" s="1" t="s">
        <v>1553</v>
      </c>
      <c r="F450" s="1" t="s">
        <v>87</v>
      </c>
      <c r="G450" s="1" t="s">
        <v>2212</v>
      </c>
      <c r="H450" s="1" t="s">
        <v>934</v>
      </c>
      <c r="I450" s="1" t="s">
        <v>2270</v>
      </c>
      <c r="J450" s="6">
        <v>8838.86</v>
      </c>
      <c r="K450" s="5">
        <v>45924</v>
      </c>
      <c r="L450" s="7">
        <v>46022</v>
      </c>
    </row>
    <row r="451" spans="1:12" hidden="1" x14ac:dyDescent="0.25">
      <c r="A451" s="4">
        <v>445</v>
      </c>
      <c r="B451" s="2" t="str">
        <f>HYPERLINK("https://my.zakupivli.pro/remote/dispatcher/state_purchase_view/62176082", "UA-2025-09-24-004466-a")</f>
        <v>UA-2025-09-24-004466-a</v>
      </c>
      <c r="C451" s="1" t="s">
        <v>1856</v>
      </c>
      <c r="D451" s="1" t="s">
        <v>1155</v>
      </c>
      <c r="E451" s="1" t="s">
        <v>1553</v>
      </c>
      <c r="F451" s="1" t="s">
        <v>87</v>
      </c>
      <c r="G451" s="1" t="s">
        <v>2276</v>
      </c>
      <c r="H451" s="1" t="s">
        <v>554</v>
      </c>
      <c r="I451" s="1" t="s">
        <v>245</v>
      </c>
      <c r="J451" s="6">
        <v>7740</v>
      </c>
      <c r="K451" s="5">
        <v>45924</v>
      </c>
      <c r="L451" s="7">
        <v>46022</v>
      </c>
    </row>
    <row r="452" spans="1:12" hidden="1" x14ac:dyDescent="0.25">
      <c r="A452" s="4">
        <v>446</v>
      </c>
      <c r="B452" s="2" t="str">
        <f>HYPERLINK("https://my.zakupivli.pro/remote/dispatcher/state_purchase_view/62174141", "UA-2025-09-24-003615-a")</f>
        <v>UA-2025-09-24-003615-a</v>
      </c>
      <c r="C452" s="1" t="s">
        <v>1388</v>
      </c>
      <c r="D452" s="1" t="s">
        <v>639</v>
      </c>
      <c r="E452" s="1" t="s">
        <v>1553</v>
      </c>
      <c r="F452" s="1" t="s">
        <v>87</v>
      </c>
      <c r="G452" s="1" t="s">
        <v>2068</v>
      </c>
      <c r="H452" s="1" t="s">
        <v>534</v>
      </c>
      <c r="I452" s="1" t="s">
        <v>862</v>
      </c>
      <c r="J452" s="6">
        <v>10800</v>
      </c>
      <c r="K452" s="5">
        <v>45924</v>
      </c>
      <c r="L452" s="7">
        <v>46022</v>
      </c>
    </row>
    <row r="453" spans="1:12" hidden="1" x14ac:dyDescent="0.25">
      <c r="A453" s="4">
        <v>447</v>
      </c>
      <c r="B453" s="2" t="str">
        <f>HYPERLINK("https://my.zakupivli.pro/remote/dispatcher/state_purchase_view/62173338", "UA-2025-09-24-003209-a")</f>
        <v>UA-2025-09-24-003209-a</v>
      </c>
      <c r="C453" s="1" t="s">
        <v>1925</v>
      </c>
      <c r="D453" s="1" t="s">
        <v>1211</v>
      </c>
      <c r="E453" s="1" t="s">
        <v>1553</v>
      </c>
      <c r="F453" s="1" t="s">
        <v>87</v>
      </c>
      <c r="G453" s="1" t="s">
        <v>1370</v>
      </c>
      <c r="H453" s="1" t="s">
        <v>58</v>
      </c>
      <c r="I453" s="1" t="s">
        <v>428</v>
      </c>
      <c r="J453" s="6">
        <v>12500</v>
      </c>
      <c r="K453" s="5">
        <v>45924</v>
      </c>
      <c r="L453" s="7">
        <v>46022</v>
      </c>
    </row>
    <row r="454" spans="1:12" hidden="1" x14ac:dyDescent="0.25">
      <c r="A454" s="4">
        <v>448</v>
      </c>
      <c r="B454" s="2" t="str">
        <f>HYPERLINK("https://my.zakupivli.pro/remote/dispatcher/state_purchase_view/62150838", "UA-2025-09-23-009022-a")</f>
        <v>UA-2025-09-23-009022-a</v>
      </c>
      <c r="C454" s="1" t="s">
        <v>2027</v>
      </c>
      <c r="D454" s="1" t="s">
        <v>880</v>
      </c>
      <c r="E454" s="1" t="s">
        <v>1553</v>
      </c>
      <c r="F454" s="1" t="s">
        <v>87</v>
      </c>
      <c r="G454" s="1" t="s">
        <v>2014</v>
      </c>
      <c r="H454" s="1" t="s">
        <v>674</v>
      </c>
      <c r="I454" s="1" t="s">
        <v>845</v>
      </c>
      <c r="J454" s="6">
        <v>580</v>
      </c>
      <c r="K454" s="5">
        <v>45923</v>
      </c>
      <c r="L454" s="7">
        <v>46022</v>
      </c>
    </row>
    <row r="455" spans="1:12" hidden="1" x14ac:dyDescent="0.25">
      <c r="A455" s="4">
        <v>449</v>
      </c>
      <c r="B455" s="2" t="str">
        <f>HYPERLINK("https://my.zakupivli.pro/remote/dispatcher/state_purchase_view/62142798", "UA-2025-09-23-005381-a")</f>
        <v>UA-2025-09-23-005381-a</v>
      </c>
      <c r="C455" s="1" t="s">
        <v>1872</v>
      </c>
      <c r="D455" s="1" t="s">
        <v>1250</v>
      </c>
      <c r="E455" s="1" t="s">
        <v>1553</v>
      </c>
      <c r="F455" s="1" t="s">
        <v>87</v>
      </c>
      <c r="G455" s="1" t="s">
        <v>1555</v>
      </c>
      <c r="H455" s="1" t="s">
        <v>86</v>
      </c>
      <c r="I455" s="1" t="s">
        <v>850</v>
      </c>
      <c r="J455" s="6">
        <v>8608</v>
      </c>
      <c r="K455" s="5">
        <v>45918</v>
      </c>
      <c r="L455" s="7">
        <v>46022</v>
      </c>
    </row>
    <row r="456" spans="1:12" hidden="1" x14ac:dyDescent="0.25">
      <c r="A456" s="4">
        <v>450</v>
      </c>
      <c r="B456" s="2" t="str">
        <f>HYPERLINK("https://my.zakupivli.pro/remote/dispatcher/state_purchase_view/62119566", "UA-2025-09-22-010392-a")</f>
        <v>UA-2025-09-22-010392-a</v>
      </c>
      <c r="C456" s="1" t="s">
        <v>1826</v>
      </c>
      <c r="D456" s="1" t="s">
        <v>1261</v>
      </c>
      <c r="E456" s="1" t="s">
        <v>1553</v>
      </c>
      <c r="F456" s="1" t="s">
        <v>87</v>
      </c>
      <c r="G456" s="1" t="s">
        <v>2164</v>
      </c>
      <c r="H456" s="1" t="s">
        <v>808</v>
      </c>
      <c r="I456" s="1" t="s">
        <v>1757</v>
      </c>
      <c r="J456" s="6">
        <v>462</v>
      </c>
      <c r="K456" s="5">
        <v>45915</v>
      </c>
      <c r="L456" s="7">
        <v>46022</v>
      </c>
    </row>
    <row r="457" spans="1:12" hidden="1" x14ac:dyDescent="0.25">
      <c r="A457" s="4">
        <v>451</v>
      </c>
      <c r="B457" s="2" t="str">
        <f>HYPERLINK("https://my.zakupivli.pro/remote/dispatcher/state_purchase_view/62118896", "UA-2025-09-22-010111-a")</f>
        <v>UA-2025-09-22-010111-a</v>
      </c>
      <c r="C457" s="1" t="s">
        <v>1400</v>
      </c>
      <c r="D457" s="1" t="s">
        <v>1244</v>
      </c>
      <c r="E457" s="1" t="s">
        <v>1553</v>
      </c>
      <c r="F457" s="1" t="s">
        <v>87</v>
      </c>
      <c r="G457" s="1" t="s">
        <v>1775</v>
      </c>
      <c r="H457" s="1" t="s">
        <v>106</v>
      </c>
      <c r="I457" s="1" t="s">
        <v>1168</v>
      </c>
      <c r="J457" s="6">
        <v>99923.8</v>
      </c>
      <c r="K457" s="5">
        <v>45919</v>
      </c>
      <c r="L457" s="7">
        <v>46022</v>
      </c>
    </row>
    <row r="458" spans="1:12" hidden="1" x14ac:dyDescent="0.25">
      <c r="A458" s="4">
        <v>452</v>
      </c>
      <c r="B458" s="2" t="str">
        <f>HYPERLINK("https://my.zakupivli.pro/remote/dispatcher/state_purchase_view/62117713", "UA-2025-09-22-009628-a")</f>
        <v>UA-2025-09-22-009628-a</v>
      </c>
      <c r="C458" s="1" t="s">
        <v>1914</v>
      </c>
      <c r="D458" s="1" t="s">
        <v>1266</v>
      </c>
      <c r="E458" s="1" t="s">
        <v>1553</v>
      </c>
      <c r="F458" s="1" t="s">
        <v>87</v>
      </c>
      <c r="G458" s="1" t="s">
        <v>1768</v>
      </c>
      <c r="H458" s="1" t="s">
        <v>238</v>
      </c>
      <c r="I458" s="1" t="s">
        <v>577</v>
      </c>
      <c r="J458" s="6">
        <v>11610</v>
      </c>
      <c r="K458" s="5">
        <v>45919</v>
      </c>
      <c r="L458" s="7">
        <v>46022</v>
      </c>
    </row>
    <row r="459" spans="1:12" hidden="1" x14ac:dyDescent="0.25">
      <c r="A459" s="4">
        <v>453</v>
      </c>
      <c r="B459" s="2" t="str">
        <f>HYPERLINK("https://my.zakupivli.pro/remote/dispatcher/state_purchase_view/62116738", "UA-2025-09-22-009143-a")</f>
        <v>UA-2025-09-22-009143-a</v>
      </c>
      <c r="C459" s="1" t="s">
        <v>1668</v>
      </c>
      <c r="D459" s="1" t="s">
        <v>672</v>
      </c>
      <c r="E459" s="1" t="s">
        <v>1553</v>
      </c>
      <c r="F459" s="1" t="s">
        <v>87</v>
      </c>
      <c r="G459" s="1" t="s">
        <v>1743</v>
      </c>
      <c r="H459" s="1" t="s">
        <v>538</v>
      </c>
      <c r="I459" s="1" t="s">
        <v>782</v>
      </c>
      <c r="J459" s="6">
        <v>99900</v>
      </c>
      <c r="K459" s="5">
        <v>45912</v>
      </c>
      <c r="L459" s="7">
        <v>46022</v>
      </c>
    </row>
    <row r="460" spans="1:12" hidden="1" x14ac:dyDescent="0.25">
      <c r="A460" s="4">
        <v>454</v>
      </c>
      <c r="B460" s="2" t="str">
        <f>HYPERLINK("https://my.zakupivli.pro/remote/dispatcher/state_purchase_view/62090777", "UA-2025-09-19-011844-a")</f>
        <v>UA-2025-09-19-011844-a</v>
      </c>
      <c r="C460" s="1" t="s">
        <v>1536</v>
      </c>
      <c r="D460" s="1" t="s">
        <v>649</v>
      </c>
      <c r="E460" s="1" t="s">
        <v>1553</v>
      </c>
      <c r="F460" s="1" t="s">
        <v>87</v>
      </c>
      <c r="G460" s="1" t="s">
        <v>2158</v>
      </c>
      <c r="H460" s="1" t="s">
        <v>608</v>
      </c>
      <c r="I460" s="1" t="s">
        <v>785</v>
      </c>
      <c r="J460" s="6">
        <v>359367</v>
      </c>
      <c r="K460" s="5">
        <v>45912</v>
      </c>
      <c r="L460" s="7">
        <v>46022</v>
      </c>
    </row>
    <row r="461" spans="1:12" hidden="1" x14ac:dyDescent="0.25">
      <c r="A461" s="4">
        <v>455</v>
      </c>
      <c r="B461" s="2" t="str">
        <f>HYPERLINK("https://my.zakupivli.pro/remote/dispatcher/state_purchase_view/62088665", "UA-2025-09-19-010865-a")</f>
        <v>UA-2025-09-19-010865-a</v>
      </c>
      <c r="C461" s="1" t="s">
        <v>1868</v>
      </c>
      <c r="D461" s="1" t="s">
        <v>1162</v>
      </c>
      <c r="E461" s="1" t="s">
        <v>1553</v>
      </c>
      <c r="F461" s="1" t="s">
        <v>87</v>
      </c>
      <c r="G461" s="1" t="s">
        <v>2177</v>
      </c>
      <c r="H461" s="1" t="s">
        <v>400</v>
      </c>
      <c r="I461" s="1" t="s">
        <v>677</v>
      </c>
      <c r="J461" s="6">
        <v>4853.96</v>
      </c>
      <c r="K461" s="5">
        <v>45910</v>
      </c>
      <c r="L461" s="7">
        <v>46022</v>
      </c>
    </row>
    <row r="462" spans="1:12" hidden="1" x14ac:dyDescent="0.25">
      <c r="A462" s="4">
        <v>456</v>
      </c>
      <c r="B462" s="2" t="str">
        <f>HYPERLINK("https://my.zakupivli.pro/remote/dispatcher/state_purchase_view/62088592", "UA-2025-09-19-010826-a")</f>
        <v>UA-2025-09-19-010826-a</v>
      </c>
      <c r="C462" s="1" t="s">
        <v>1658</v>
      </c>
      <c r="D462" s="1" t="s">
        <v>884</v>
      </c>
      <c r="E462" s="1" t="s">
        <v>1553</v>
      </c>
      <c r="F462" s="1" t="s">
        <v>87</v>
      </c>
      <c r="G462" s="1" t="s">
        <v>1635</v>
      </c>
      <c r="H462" s="1" t="s">
        <v>525</v>
      </c>
      <c r="I462" s="1" t="s">
        <v>114</v>
      </c>
      <c r="J462" s="6">
        <v>39536</v>
      </c>
      <c r="K462" s="5">
        <v>45917</v>
      </c>
      <c r="L462" s="7">
        <v>46022</v>
      </c>
    </row>
    <row r="463" spans="1:12" hidden="1" x14ac:dyDescent="0.25">
      <c r="A463" s="4">
        <v>457</v>
      </c>
      <c r="B463" s="2" t="str">
        <f>HYPERLINK("https://my.zakupivli.pro/remote/dispatcher/state_purchase_view/62086595", "UA-2025-09-19-009912-a")</f>
        <v>UA-2025-09-19-009912-a</v>
      </c>
      <c r="C463" s="1" t="s">
        <v>1389</v>
      </c>
      <c r="D463" s="1" t="s">
        <v>668</v>
      </c>
      <c r="E463" s="1" t="s">
        <v>1553</v>
      </c>
      <c r="F463" s="1" t="s">
        <v>87</v>
      </c>
      <c r="G463" s="1" t="s">
        <v>1428</v>
      </c>
      <c r="H463" s="1" t="s">
        <v>587</v>
      </c>
      <c r="I463" s="1" t="s">
        <v>979</v>
      </c>
      <c r="J463" s="6">
        <v>72199.320000000007</v>
      </c>
      <c r="K463" s="5">
        <v>45917</v>
      </c>
      <c r="L463" s="7">
        <v>46022</v>
      </c>
    </row>
    <row r="464" spans="1:12" hidden="1" x14ac:dyDescent="0.25">
      <c r="A464" s="4">
        <v>458</v>
      </c>
      <c r="B464" s="2" t="str">
        <f>HYPERLINK("https://my.zakupivli.pro/remote/dispatcher/state_purchase_view/62085905", "UA-2025-09-19-009575-a")</f>
        <v>UA-2025-09-19-009575-a</v>
      </c>
      <c r="C464" s="1" t="s">
        <v>1807</v>
      </c>
      <c r="D464" s="1" t="s">
        <v>977</v>
      </c>
      <c r="E464" s="1" t="s">
        <v>1553</v>
      </c>
      <c r="F464" s="1" t="s">
        <v>87</v>
      </c>
      <c r="G464" s="1" t="s">
        <v>1458</v>
      </c>
      <c r="H464" s="1" t="s">
        <v>558</v>
      </c>
      <c r="I464" s="1" t="s">
        <v>809</v>
      </c>
      <c r="J464" s="6">
        <v>96014</v>
      </c>
      <c r="K464" s="5">
        <v>45916</v>
      </c>
      <c r="L464" s="7">
        <v>46022</v>
      </c>
    </row>
    <row r="465" spans="1:12" hidden="1" x14ac:dyDescent="0.25">
      <c r="A465" s="4">
        <v>459</v>
      </c>
      <c r="B465" s="2" t="str">
        <f>HYPERLINK("https://my.zakupivli.pro/remote/dispatcher/state_purchase_view/62083741", "UA-2025-09-19-008624-a")</f>
        <v>UA-2025-09-19-008624-a</v>
      </c>
      <c r="C465" s="1" t="s">
        <v>1513</v>
      </c>
      <c r="D465" s="1" t="s">
        <v>995</v>
      </c>
      <c r="E465" s="1" t="s">
        <v>1553</v>
      </c>
      <c r="F465" s="1" t="s">
        <v>87</v>
      </c>
      <c r="G465" s="1" t="s">
        <v>1458</v>
      </c>
      <c r="H465" s="1" t="s">
        <v>558</v>
      </c>
      <c r="I465" s="1" t="s">
        <v>807</v>
      </c>
      <c r="J465" s="6">
        <v>52765</v>
      </c>
      <c r="K465" s="5">
        <v>45916</v>
      </c>
      <c r="L465" s="7">
        <v>46022</v>
      </c>
    </row>
    <row r="466" spans="1:12" hidden="1" x14ac:dyDescent="0.25">
      <c r="A466" s="4">
        <v>460</v>
      </c>
      <c r="B466" s="2" t="str">
        <f>HYPERLINK("https://my.zakupivli.pro/remote/dispatcher/state_purchase_view/62082816", "UA-2025-09-19-008182-a")</f>
        <v>UA-2025-09-19-008182-a</v>
      </c>
      <c r="C466" s="1" t="s">
        <v>1709</v>
      </c>
      <c r="D466" s="1" t="s">
        <v>962</v>
      </c>
      <c r="E466" s="1" t="s">
        <v>1553</v>
      </c>
      <c r="F466" s="1" t="s">
        <v>87</v>
      </c>
      <c r="G466" s="1" t="s">
        <v>1623</v>
      </c>
      <c r="H466" s="1" t="s">
        <v>579</v>
      </c>
      <c r="I466" s="1" t="s">
        <v>843</v>
      </c>
      <c r="J466" s="6">
        <v>19683</v>
      </c>
      <c r="K466" s="5">
        <v>45918</v>
      </c>
      <c r="L466" s="7">
        <v>46022</v>
      </c>
    </row>
    <row r="467" spans="1:12" hidden="1" x14ac:dyDescent="0.25">
      <c r="A467" s="4">
        <v>461</v>
      </c>
      <c r="B467" s="2" t="str">
        <f>HYPERLINK("https://my.zakupivli.pro/remote/dispatcher/state_purchase_view/62082314", "UA-2025-09-19-007960-a")</f>
        <v>UA-2025-09-19-007960-a</v>
      </c>
      <c r="C467" s="1" t="s">
        <v>1516</v>
      </c>
      <c r="D467" s="1" t="s">
        <v>620</v>
      </c>
      <c r="E467" s="1" t="s">
        <v>1553</v>
      </c>
      <c r="F467" s="1" t="s">
        <v>87</v>
      </c>
      <c r="G467" s="1" t="s">
        <v>1623</v>
      </c>
      <c r="H467" s="1" t="s">
        <v>579</v>
      </c>
      <c r="I467" s="1" t="s">
        <v>840</v>
      </c>
      <c r="J467" s="6">
        <v>6817</v>
      </c>
      <c r="K467" s="5">
        <v>45918</v>
      </c>
      <c r="L467" s="7">
        <v>46022</v>
      </c>
    </row>
    <row r="468" spans="1:12" hidden="1" x14ac:dyDescent="0.25">
      <c r="A468" s="4">
        <v>462</v>
      </c>
      <c r="B468" s="2" t="str">
        <f>HYPERLINK("https://my.zakupivli.pro/remote/dispatcher/state_purchase_view/62081650", "UA-2025-09-19-007639-a")</f>
        <v>UA-2025-09-19-007639-a</v>
      </c>
      <c r="C468" s="1" t="s">
        <v>1733</v>
      </c>
      <c r="D468" s="1" t="s">
        <v>882</v>
      </c>
      <c r="E468" s="1" t="s">
        <v>1553</v>
      </c>
      <c r="F468" s="1" t="s">
        <v>87</v>
      </c>
      <c r="G468" s="1" t="s">
        <v>1623</v>
      </c>
      <c r="H468" s="1" t="s">
        <v>579</v>
      </c>
      <c r="I468" s="1" t="s">
        <v>838</v>
      </c>
      <c r="J468" s="6">
        <v>2560</v>
      </c>
      <c r="K468" s="5">
        <v>45918</v>
      </c>
      <c r="L468" s="7">
        <v>46022</v>
      </c>
    </row>
    <row r="469" spans="1:12" hidden="1" x14ac:dyDescent="0.25">
      <c r="A469" s="4">
        <v>463</v>
      </c>
      <c r="B469" s="2" t="str">
        <f>HYPERLINK("https://my.zakupivli.pro/remote/dispatcher/state_purchase_view/62075603", "UA-2025-09-19-004905-a")</f>
        <v>UA-2025-09-19-004905-a</v>
      </c>
      <c r="C469" s="1" t="s">
        <v>1713</v>
      </c>
      <c r="D469" s="1" t="s">
        <v>922</v>
      </c>
      <c r="E469" s="1" t="s">
        <v>1553</v>
      </c>
      <c r="F469" s="1" t="s">
        <v>87</v>
      </c>
      <c r="G469" s="1" t="s">
        <v>1623</v>
      </c>
      <c r="H469" s="1" t="s">
        <v>579</v>
      </c>
      <c r="I469" s="1" t="s">
        <v>832</v>
      </c>
      <c r="J469" s="6">
        <v>9600</v>
      </c>
      <c r="K469" s="5">
        <v>45918</v>
      </c>
      <c r="L469" s="7">
        <v>46022</v>
      </c>
    </row>
    <row r="470" spans="1:12" hidden="1" x14ac:dyDescent="0.25">
      <c r="A470" s="4">
        <v>464</v>
      </c>
      <c r="B470" s="2" t="str">
        <f>HYPERLINK("https://my.zakupivli.pro/remote/dispatcher/state_purchase_view/62074223", "UA-2025-09-19-004261-a")</f>
        <v>UA-2025-09-19-004261-a</v>
      </c>
      <c r="C470" s="1" t="s">
        <v>1844</v>
      </c>
      <c r="D470" s="1" t="s">
        <v>1300</v>
      </c>
      <c r="E470" s="1" t="s">
        <v>1553</v>
      </c>
      <c r="F470" s="1" t="s">
        <v>87</v>
      </c>
      <c r="G470" s="1" t="s">
        <v>2137</v>
      </c>
      <c r="H470" s="1" t="s">
        <v>836</v>
      </c>
      <c r="I470" s="1" t="s">
        <v>1213</v>
      </c>
      <c r="J470" s="6">
        <v>3456</v>
      </c>
      <c r="K470" s="5">
        <v>45918</v>
      </c>
      <c r="L470" s="7">
        <v>46022</v>
      </c>
    </row>
    <row r="471" spans="1:12" hidden="1" x14ac:dyDescent="0.25">
      <c r="A471" s="4">
        <v>465</v>
      </c>
      <c r="B471" s="2" t="str">
        <f>HYPERLINK("https://my.zakupivli.pro/remote/dispatcher/state_purchase_view/62073532", "UA-2025-09-19-003947-a")</f>
        <v>UA-2025-09-19-003947-a</v>
      </c>
      <c r="C471" s="1" t="s">
        <v>1703</v>
      </c>
      <c r="D471" s="1" t="s">
        <v>1300</v>
      </c>
      <c r="E471" s="1" t="s">
        <v>1553</v>
      </c>
      <c r="F471" s="1" t="s">
        <v>87</v>
      </c>
      <c r="G471" s="1" t="s">
        <v>1744</v>
      </c>
      <c r="H471" s="1" t="s">
        <v>571</v>
      </c>
      <c r="I471" s="1" t="s">
        <v>187</v>
      </c>
      <c r="J471" s="6">
        <v>3450</v>
      </c>
      <c r="K471" s="5">
        <v>45916</v>
      </c>
      <c r="L471" s="7">
        <v>46022</v>
      </c>
    </row>
    <row r="472" spans="1:12" hidden="1" x14ac:dyDescent="0.25">
      <c r="A472" s="4">
        <v>466</v>
      </c>
      <c r="B472" s="2" t="str">
        <f>HYPERLINK("https://my.zakupivli.pro/remote/dispatcher/state_purchase_view/62072693", "UA-2025-09-19-003537-a")</f>
        <v>UA-2025-09-19-003537-a</v>
      </c>
      <c r="C472" s="1" t="s">
        <v>40</v>
      </c>
      <c r="D472" s="1" t="s">
        <v>1313</v>
      </c>
      <c r="E472" s="1" t="s">
        <v>1553</v>
      </c>
      <c r="F472" s="1" t="s">
        <v>87</v>
      </c>
      <c r="G472" s="1" t="s">
        <v>1555</v>
      </c>
      <c r="H472" s="1" t="s">
        <v>86</v>
      </c>
      <c r="I472" s="1" t="s">
        <v>1166</v>
      </c>
      <c r="J472" s="6">
        <v>1979</v>
      </c>
      <c r="K472" s="5">
        <v>45915</v>
      </c>
      <c r="L472" s="7">
        <v>46022</v>
      </c>
    </row>
    <row r="473" spans="1:12" hidden="1" x14ac:dyDescent="0.25">
      <c r="A473" s="4">
        <v>467</v>
      </c>
      <c r="B473" s="2" t="str">
        <f>HYPERLINK("https://my.zakupivli.pro/remote/dispatcher/state_purchase_view/62071637", "UA-2025-09-19-003089-a")</f>
        <v>UA-2025-09-19-003089-a</v>
      </c>
      <c r="C473" s="1" t="s">
        <v>2209</v>
      </c>
      <c r="D473" s="1" t="s">
        <v>742</v>
      </c>
      <c r="E473" s="1" t="s">
        <v>1553</v>
      </c>
      <c r="F473" s="1" t="s">
        <v>87</v>
      </c>
      <c r="G473" s="1" t="s">
        <v>1623</v>
      </c>
      <c r="H473" s="1" t="s">
        <v>579</v>
      </c>
      <c r="I473" s="1" t="s">
        <v>827</v>
      </c>
      <c r="J473" s="6">
        <v>20000</v>
      </c>
      <c r="K473" s="5">
        <v>45918</v>
      </c>
      <c r="L473" s="7">
        <v>46022</v>
      </c>
    </row>
    <row r="474" spans="1:12" hidden="1" x14ac:dyDescent="0.25">
      <c r="A474" s="4">
        <v>468</v>
      </c>
      <c r="B474" s="2" t="str">
        <f>HYPERLINK("https://my.zakupivli.pro/remote/dispatcher/state_purchase_view/62039724", "UA-2025-09-18-004140-a")</f>
        <v>UA-2025-09-18-004140-a</v>
      </c>
      <c r="C474" s="1" t="s">
        <v>1598</v>
      </c>
      <c r="D474" s="1" t="s">
        <v>1012</v>
      </c>
      <c r="E474" s="1" t="s">
        <v>1553</v>
      </c>
      <c r="F474" s="1" t="s">
        <v>87</v>
      </c>
      <c r="G474" s="1" t="s">
        <v>1623</v>
      </c>
      <c r="H474" s="1" t="s">
        <v>579</v>
      </c>
      <c r="I474" s="1" t="s">
        <v>829</v>
      </c>
      <c r="J474" s="6">
        <v>61000</v>
      </c>
      <c r="K474" s="5">
        <v>45917</v>
      </c>
      <c r="L474" s="7">
        <v>46022</v>
      </c>
    </row>
    <row r="475" spans="1:12" hidden="1" x14ac:dyDescent="0.25">
      <c r="A475" s="4">
        <v>469</v>
      </c>
      <c r="B475" s="2" t="str">
        <f>HYPERLINK("https://my.zakupivli.pro/remote/dispatcher/state_purchase_view/61963720", "UA-2025-09-16-001086-a")</f>
        <v>UA-2025-09-16-001086-a</v>
      </c>
      <c r="C475" s="1" t="s">
        <v>1886</v>
      </c>
      <c r="D475" s="1" t="s">
        <v>1074</v>
      </c>
      <c r="E475" s="1" t="s">
        <v>1553</v>
      </c>
      <c r="F475" s="1" t="s">
        <v>87</v>
      </c>
      <c r="G475" s="1" t="s">
        <v>1772</v>
      </c>
      <c r="H475" s="1" t="s">
        <v>796</v>
      </c>
      <c r="I475" s="1" t="s">
        <v>793</v>
      </c>
      <c r="J475" s="6">
        <v>98662.57</v>
      </c>
      <c r="K475" s="5">
        <v>45915</v>
      </c>
      <c r="L475" s="7">
        <v>46022</v>
      </c>
    </row>
    <row r="476" spans="1:12" hidden="1" x14ac:dyDescent="0.25">
      <c r="A476" s="4">
        <v>470</v>
      </c>
      <c r="B476" s="2" t="str">
        <f>HYPERLINK("https://my.zakupivli.pro/remote/dispatcher/state_purchase_view/61963237", "UA-2025-09-16-000894-a")</f>
        <v>UA-2025-09-16-000894-a</v>
      </c>
      <c r="C476" s="1" t="s">
        <v>1835</v>
      </c>
      <c r="D476" s="1" t="s">
        <v>1061</v>
      </c>
      <c r="E476" s="1" t="s">
        <v>1553</v>
      </c>
      <c r="F476" s="1" t="s">
        <v>87</v>
      </c>
      <c r="G476" s="1" t="s">
        <v>1772</v>
      </c>
      <c r="H476" s="1" t="s">
        <v>796</v>
      </c>
      <c r="I476" s="1" t="s">
        <v>817</v>
      </c>
      <c r="J476" s="6">
        <v>99574.96</v>
      </c>
      <c r="K476" s="5">
        <v>45915</v>
      </c>
      <c r="L476" s="7">
        <v>46022</v>
      </c>
    </row>
    <row r="477" spans="1:12" hidden="1" x14ac:dyDescent="0.25">
      <c r="A477" s="4">
        <v>471</v>
      </c>
      <c r="B477" s="2" t="str">
        <f>HYPERLINK("https://my.zakupivli.pro/remote/dispatcher/state_purchase_view/61954940", "UA-2025-09-15-011759-a")</f>
        <v>UA-2025-09-15-011759-a</v>
      </c>
      <c r="C477" s="1" t="s">
        <v>1962</v>
      </c>
      <c r="D477" s="1" t="s">
        <v>478</v>
      </c>
      <c r="E477" s="1" t="s">
        <v>1553</v>
      </c>
      <c r="F477" s="1" t="s">
        <v>87</v>
      </c>
      <c r="G477" s="1" t="s">
        <v>2076</v>
      </c>
      <c r="H477" s="1" t="s">
        <v>764</v>
      </c>
      <c r="I477" s="1" t="s">
        <v>918</v>
      </c>
      <c r="J477" s="6">
        <v>7260</v>
      </c>
      <c r="K477" s="5">
        <v>45929</v>
      </c>
      <c r="L477" s="7">
        <v>46052</v>
      </c>
    </row>
    <row r="478" spans="1:12" hidden="1" x14ac:dyDescent="0.25">
      <c r="A478" s="4">
        <v>472</v>
      </c>
      <c r="B478" s="2" t="str">
        <f>HYPERLINK("https://my.zakupivli.pro/remote/dispatcher/state_purchase_view/61936242", "UA-2025-09-15-003603-a")</f>
        <v>UA-2025-09-15-003603-a</v>
      </c>
      <c r="C478" s="1" t="s">
        <v>2256</v>
      </c>
      <c r="D478" s="1" t="s">
        <v>897</v>
      </c>
      <c r="E478" s="1" t="s">
        <v>1553</v>
      </c>
      <c r="F478" s="1" t="s">
        <v>87</v>
      </c>
      <c r="G478" s="1" t="s">
        <v>2018</v>
      </c>
      <c r="H478" s="1" t="s">
        <v>611</v>
      </c>
      <c r="I478" s="1" t="s">
        <v>802</v>
      </c>
      <c r="J478" s="6">
        <v>9611</v>
      </c>
      <c r="K478" s="5">
        <v>45912</v>
      </c>
      <c r="L478" s="7">
        <v>46022</v>
      </c>
    </row>
    <row r="479" spans="1:12" hidden="1" x14ac:dyDescent="0.25">
      <c r="A479" s="4">
        <v>473</v>
      </c>
      <c r="B479" s="2" t="str">
        <f>HYPERLINK("https://my.zakupivli.pro/remote/dispatcher/state_purchase_view/61934844", "UA-2025-09-15-002970-a")</f>
        <v>UA-2025-09-15-002970-a</v>
      </c>
      <c r="C479" s="1" t="s">
        <v>1911</v>
      </c>
      <c r="D479" s="1" t="s">
        <v>1284</v>
      </c>
      <c r="E479" s="1" t="s">
        <v>1553</v>
      </c>
      <c r="F479" s="1" t="s">
        <v>87</v>
      </c>
      <c r="G479" s="1" t="s">
        <v>1692</v>
      </c>
      <c r="H479" s="1" t="s">
        <v>653</v>
      </c>
      <c r="I479" s="1" t="s">
        <v>816</v>
      </c>
      <c r="J479" s="6">
        <v>12143</v>
      </c>
      <c r="K479" s="5">
        <v>45912</v>
      </c>
      <c r="L479" s="7">
        <v>46022</v>
      </c>
    </row>
    <row r="480" spans="1:12" hidden="1" x14ac:dyDescent="0.25">
      <c r="A480" s="4">
        <v>474</v>
      </c>
      <c r="B480" s="2" t="str">
        <f>HYPERLINK("https://my.zakupivli.pro/remote/dispatcher/state_purchase_view/61934051", "UA-2025-09-15-002634-a")</f>
        <v>UA-2025-09-15-002634-a</v>
      </c>
      <c r="C480" s="1" t="s">
        <v>1711</v>
      </c>
      <c r="D480" s="1" t="s">
        <v>340</v>
      </c>
      <c r="E480" s="1" t="s">
        <v>1553</v>
      </c>
      <c r="F480" s="1" t="s">
        <v>87</v>
      </c>
      <c r="G480" s="1" t="s">
        <v>2021</v>
      </c>
      <c r="H480" s="1" t="s">
        <v>535</v>
      </c>
      <c r="I480" s="1" t="s">
        <v>813</v>
      </c>
      <c r="J480" s="6">
        <v>46850</v>
      </c>
      <c r="K480" s="5">
        <v>45912</v>
      </c>
      <c r="L480" s="7">
        <v>46022</v>
      </c>
    </row>
    <row r="481" spans="1:12" hidden="1" x14ac:dyDescent="0.25">
      <c r="A481" s="4">
        <v>475</v>
      </c>
      <c r="B481" s="2" t="str">
        <f>HYPERLINK("https://my.zakupivli.pro/remote/dispatcher/state_purchase_view/61933224", "UA-2025-09-15-002246-a")</f>
        <v>UA-2025-09-15-002246-a</v>
      </c>
      <c r="C481" s="1" t="s">
        <v>1715</v>
      </c>
      <c r="D481" s="1" t="s">
        <v>344</v>
      </c>
      <c r="E481" s="1" t="s">
        <v>1553</v>
      </c>
      <c r="F481" s="1" t="s">
        <v>87</v>
      </c>
      <c r="G481" s="1" t="s">
        <v>1759</v>
      </c>
      <c r="H481" s="1" t="s">
        <v>295</v>
      </c>
      <c r="I481" s="1" t="s">
        <v>806</v>
      </c>
      <c r="J481" s="6">
        <v>695</v>
      </c>
      <c r="K481" s="5">
        <v>45912</v>
      </c>
      <c r="L481" s="7">
        <v>46022</v>
      </c>
    </row>
    <row r="482" spans="1:12" hidden="1" x14ac:dyDescent="0.25">
      <c r="A482" s="4">
        <v>476</v>
      </c>
      <c r="B482" s="2" t="str">
        <f>HYPERLINK("https://my.zakupivli.pro/remote/dispatcher/state_purchase_view/61931609", "UA-2025-09-15-001561-a")</f>
        <v>UA-2025-09-15-001561-a</v>
      </c>
      <c r="C482" s="1" t="s">
        <v>1463</v>
      </c>
      <c r="D482" s="1" t="s">
        <v>910</v>
      </c>
      <c r="E482" s="1" t="s">
        <v>1553</v>
      </c>
      <c r="F482" s="1" t="s">
        <v>87</v>
      </c>
      <c r="G482" s="1" t="s">
        <v>2021</v>
      </c>
      <c r="H482" s="1" t="s">
        <v>535</v>
      </c>
      <c r="I482" s="1" t="s">
        <v>804</v>
      </c>
      <c r="J482" s="6">
        <v>1377.6</v>
      </c>
      <c r="K482" s="5">
        <v>45912</v>
      </c>
      <c r="L482" s="7">
        <v>46022</v>
      </c>
    </row>
    <row r="483" spans="1:12" hidden="1" x14ac:dyDescent="0.25">
      <c r="A483" s="4">
        <v>477</v>
      </c>
      <c r="B483" s="2" t="str">
        <f>HYPERLINK("https://my.zakupivli.pro/remote/dispatcher/state_purchase_view/61930737", "UA-2025-09-15-001163-a")</f>
        <v>UA-2025-09-15-001163-a</v>
      </c>
      <c r="C483" s="1" t="s">
        <v>1660</v>
      </c>
      <c r="D483" s="1" t="s">
        <v>885</v>
      </c>
      <c r="E483" s="1" t="s">
        <v>1553</v>
      </c>
      <c r="F483" s="1" t="s">
        <v>87</v>
      </c>
      <c r="G483" s="1" t="s">
        <v>2121</v>
      </c>
      <c r="H483" s="1" t="s">
        <v>675</v>
      </c>
      <c r="I483" s="1" t="s">
        <v>797</v>
      </c>
      <c r="J483" s="6">
        <v>8399.99</v>
      </c>
      <c r="K483" s="5">
        <v>45910</v>
      </c>
      <c r="L483" s="7">
        <v>46022</v>
      </c>
    </row>
    <row r="484" spans="1:12" hidden="1" x14ac:dyDescent="0.25">
      <c r="A484" s="4">
        <v>478</v>
      </c>
      <c r="B484" s="2" t="str">
        <f>HYPERLINK("https://my.zakupivli.pro/remote/dispatcher/state_purchase_view/61930011", "UA-2025-09-15-000800-a")</f>
        <v>UA-2025-09-15-000800-a</v>
      </c>
      <c r="C484" s="1" t="s">
        <v>1658</v>
      </c>
      <c r="D484" s="1" t="s">
        <v>884</v>
      </c>
      <c r="E484" s="1" t="s">
        <v>1553</v>
      </c>
      <c r="F484" s="1" t="s">
        <v>87</v>
      </c>
      <c r="G484" s="1" t="s">
        <v>1623</v>
      </c>
      <c r="H484" s="1" t="s">
        <v>579</v>
      </c>
      <c r="I484" s="1" t="s">
        <v>790</v>
      </c>
      <c r="J484" s="6">
        <v>33650</v>
      </c>
      <c r="K484" s="5">
        <v>45911</v>
      </c>
      <c r="L484" s="7">
        <v>45961</v>
      </c>
    </row>
    <row r="485" spans="1:12" hidden="1" x14ac:dyDescent="0.25">
      <c r="A485" s="4">
        <v>479</v>
      </c>
      <c r="B485" s="2" t="str">
        <f>HYPERLINK("https://my.zakupivli.pro/remote/dispatcher/state_purchase_view/61929423", "UA-2025-09-15-000581-a")</f>
        <v>UA-2025-09-15-000581-a</v>
      </c>
      <c r="C485" s="1" t="s">
        <v>1495</v>
      </c>
      <c r="D485" s="1" t="s">
        <v>431</v>
      </c>
      <c r="E485" s="1" t="s">
        <v>1553</v>
      </c>
      <c r="F485" s="1" t="s">
        <v>87</v>
      </c>
      <c r="G485" s="1" t="s">
        <v>2115</v>
      </c>
      <c r="H485" s="1" t="s">
        <v>874</v>
      </c>
      <c r="I485" s="1" t="s">
        <v>799</v>
      </c>
      <c r="J485" s="6">
        <v>600</v>
      </c>
      <c r="K485" s="5">
        <v>45912</v>
      </c>
      <c r="L485" s="7">
        <v>45961</v>
      </c>
    </row>
    <row r="486" spans="1:12" hidden="1" x14ac:dyDescent="0.25">
      <c r="A486" s="4">
        <v>480</v>
      </c>
      <c r="B486" s="2" t="str">
        <f>HYPERLINK("https://my.zakupivli.pro/remote/dispatcher/state_purchase_view/61928879", "UA-2025-09-15-000343-a")</f>
        <v>UA-2025-09-15-000343-a</v>
      </c>
      <c r="C486" s="1" t="s">
        <v>1549</v>
      </c>
      <c r="D486" s="1" t="s">
        <v>440</v>
      </c>
      <c r="E486" s="1" t="s">
        <v>1553</v>
      </c>
      <c r="F486" s="1" t="s">
        <v>87</v>
      </c>
      <c r="G486" s="1" t="s">
        <v>1456</v>
      </c>
      <c r="H486" s="1" t="s">
        <v>317</v>
      </c>
      <c r="I486" s="1" t="s">
        <v>800</v>
      </c>
      <c r="J486" s="6">
        <v>78600</v>
      </c>
      <c r="K486" s="5">
        <v>45912</v>
      </c>
      <c r="L486" s="7">
        <v>46022</v>
      </c>
    </row>
    <row r="487" spans="1:12" hidden="1" x14ac:dyDescent="0.25">
      <c r="A487" s="4">
        <v>481</v>
      </c>
      <c r="B487" s="2" t="str">
        <f>HYPERLINK("https://my.zakupivli.pro/remote/dispatcher/state_purchase_view/61858665", "UA-2025-09-10-012703-a")</f>
        <v>UA-2025-09-10-012703-a</v>
      </c>
      <c r="C487" s="1" t="s">
        <v>2043</v>
      </c>
      <c r="D487" s="1" t="s">
        <v>1178</v>
      </c>
      <c r="E487" s="1" t="s">
        <v>1553</v>
      </c>
      <c r="F487" s="1" t="s">
        <v>87</v>
      </c>
      <c r="G487" s="1" t="s">
        <v>2109</v>
      </c>
      <c r="H487" s="1" t="s">
        <v>1080</v>
      </c>
      <c r="I487" s="1" t="s">
        <v>906</v>
      </c>
      <c r="J487" s="6">
        <v>2640000</v>
      </c>
      <c r="K487" s="5">
        <v>45931</v>
      </c>
      <c r="L487" s="7">
        <v>46017</v>
      </c>
    </row>
    <row r="488" spans="1:12" hidden="1" x14ac:dyDescent="0.25">
      <c r="A488" s="4">
        <v>482</v>
      </c>
      <c r="B488" s="2" t="str">
        <f>HYPERLINK("https://my.zakupivli.pro/remote/dispatcher/state_purchase_view/61808353", "UA-2025-09-09-004904-a")</f>
        <v>UA-2025-09-09-004904-a</v>
      </c>
      <c r="C488" s="1" t="s">
        <v>1966</v>
      </c>
      <c r="D488" s="1" t="s">
        <v>775</v>
      </c>
      <c r="E488" s="1" t="s">
        <v>1553</v>
      </c>
      <c r="F488" s="1" t="s">
        <v>87</v>
      </c>
      <c r="G488" s="1" t="s">
        <v>1762</v>
      </c>
      <c r="H488" s="1" t="s">
        <v>821</v>
      </c>
      <c r="I488" s="1" t="s">
        <v>176</v>
      </c>
      <c r="J488" s="6">
        <v>2550</v>
      </c>
      <c r="K488" s="5">
        <v>45908</v>
      </c>
      <c r="L488" s="7">
        <v>46022</v>
      </c>
    </row>
    <row r="489" spans="1:12" hidden="1" x14ac:dyDescent="0.25">
      <c r="A489" s="4">
        <v>483</v>
      </c>
      <c r="B489" s="2" t="str">
        <f>HYPERLINK("https://my.zakupivli.pro/remote/dispatcher/state_purchase_view/61806246", "UA-2025-09-09-004023-a")</f>
        <v>UA-2025-09-09-004023-a</v>
      </c>
      <c r="C489" s="1" t="s">
        <v>2291</v>
      </c>
      <c r="D489" s="1" t="s">
        <v>911</v>
      </c>
      <c r="E489" s="1" t="s">
        <v>1553</v>
      </c>
      <c r="F489" s="1" t="s">
        <v>87</v>
      </c>
      <c r="G489" s="1" t="s">
        <v>2018</v>
      </c>
      <c r="H489" s="1" t="s">
        <v>611</v>
      </c>
      <c r="I489" s="1" t="s">
        <v>779</v>
      </c>
      <c r="J489" s="6">
        <v>9856</v>
      </c>
      <c r="K489" s="5">
        <v>45908</v>
      </c>
      <c r="L489" s="7">
        <v>46022</v>
      </c>
    </row>
    <row r="490" spans="1:12" hidden="1" x14ac:dyDescent="0.25">
      <c r="A490" s="4">
        <v>484</v>
      </c>
      <c r="B490" s="2" t="str">
        <f>HYPERLINK("https://my.zakupivli.pro/remote/dispatcher/state_purchase_view/61770504", "UA-2025-09-08-001969-a")</f>
        <v>UA-2025-09-08-001969-a</v>
      </c>
      <c r="C490" s="1" t="s">
        <v>1842</v>
      </c>
      <c r="D490" s="1" t="s">
        <v>1139</v>
      </c>
      <c r="E490" s="1" t="s">
        <v>1553</v>
      </c>
      <c r="F490" s="1" t="s">
        <v>87</v>
      </c>
      <c r="G490" s="1" t="s">
        <v>2016</v>
      </c>
      <c r="H490" s="1" t="s">
        <v>462</v>
      </c>
      <c r="I490" s="1" t="s">
        <v>288</v>
      </c>
      <c r="J490" s="6">
        <v>3330</v>
      </c>
      <c r="K490" s="5">
        <v>45897</v>
      </c>
      <c r="L490" s="7">
        <v>46022</v>
      </c>
    </row>
    <row r="491" spans="1:12" hidden="1" x14ac:dyDescent="0.25">
      <c r="A491" s="4">
        <v>485</v>
      </c>
      <c r="B491" s="2" t="str">
        <f>HYPERLINK("https://my.zakupivli.pro/remote/dispatcher/state_purchase_view/61768839", "UA-2025-09-08-001212-a")</f>
        <v>UA-2025-09-08-001212-a</v>
      </c>
      <c r="C491" s="1" t="s">
        <v>1795</v>
      </c>
      <c r="D491" s="1" t="s">
        <v>424</v>
      </c>
      <c r="E491" s="1" t="s">
        <v>1553</v>
      </c>
      <c r="F491" s="1" t="s">
        <v>87</v>
      </c>
      <c r="G491" s="1" t="s">
        <v>1473</v>
      </c>
      <c r="H491" s="1" t="s">
        <v>826</v>
      </c>
      <c r="I491" s="1" t="s">
        <v>748</v>
      </c>
      <c r="J491" s="6">
        <v>1200</v>
      </c>
      <c r="K491" s="5">
        <v>45903</v>
      </c>
      <c r="L491" s="7">
        <v>46022</v>
      </c>
    </row>
    <row r="492" spans="1:12" hidden="1" x14ac:dyDescent="0.25">
      <c r="A492" s="4">
        <v>486</v>
      </c>
      <c r="B492" s="2" t="str">
        <f>HYPERLINK("https://my.zakupivli.pro/remote/dispatcher/state_purchase_view/61768059", "UA-2025-09-08-000864-a")</f>
        <v>UA-2025-09-08-000864-a</v>
      </c>
      <c r="C492" s="1" t="s">
        <v>2037</v>
      </c>
      <c r="D492" s="1" t="s">
        <v>313</v>
      </c>
      <c r="E492" s="1" t="s">
        <v>1553</v>
      </c>
      <c r="F492" s="1" t="s">
        <v>87</v>
      </c>
      <c r="G492" s="1" t="s">
        <v>2111</v>
      </c>
      <c r="H492" s="1" t="s">
        <v>460</v>
      </c>
      <c r="I492" s="1" t="s">
        <v>767</v>
      </c>
      <c r="J492" s="6">
        <v>1000</v>
      </c>
      <c r="K492" s="5">
        <v>45905</v>
      </c>
      <c r="L492" s="7">
        <v>46022</v>
      </c>
    </row>
    <row r="493" spans="1:12" hidden="1" x14ac:dyDescent="0.25">
      <c r="A493" s="4">
        <v>487</v>
      </c>
      <c r="B493" s="2" t="str">
        <f>HYPERLINK("https://my.zakupivli.pro/remote/dispatcher/state_purchase_view/61757170", "UA-2025-09-05-010441-a")</f>
        <v>UA-2025-09-05-010441-a</v>
      </c>
      <c r="C493" s="1" t="s">
        <v>1435</v>
      </c>
      <c r="D493" s="1" t="s">
        <v>852</v>
      </c>
      <c r="E493" s="1" t="s">
        <v>1553</v>
      </c>
      <c r="F493" s="1" t="s">
        <v>87</v>
      </c>
      <c r="G493" s="1" t="s">
        <v>2111</v>
      </c>
      <c r="H493" s="1" t="s">
        <v>460</v>
      </c>
      <c r="I493" s="1" t="s">
        <v>251</v>
      </c>
      <c r="J493" s="6">
        <v>6064</v>
      </c>
      <c r="K493" s="5">
        <v>45904</v>
      </c>
      <c r="L493" s="7">
        <v>46022</v>
      </c>
    </row>
    <row r="494" spans="1:12" hidden="1" x14ac:dyDescent="0.25">
      <c r="A494" s="4">
        <v>488</v>
      </c>
      <c r="B494" s="2" t="str">
        <f>HYPERLINK("https://my.zakupivli.pro/remote/dispatcher/state_purchase_view/61756185", "UA-2025-09-05-009931-a")</f>
        <v>UA-2025-09-05-009931-a</v>
      </c>
      <c r="C494" s="1" t="s">
        <v>1832</v>
      </c>
      <c r="D494" s="1" t="s">
        <v>1055</v>
      </c>
      <c r="E494" s="1" t="s">
        <v>1553</v>
      </c>
      <c r="F494" s="1" t="s">
        <v>87</v>
      </c>
      <c r="G494" s="1" t="s">
        <v>2015</v>
      </c>
      <c r="H494" s="1" t="s">
        <v>505</v>
      </c>
      <c r="I494" s="1" t="s">
        <v>724</v>
      </c>
      <c r="J494" s="6">
        <v>154969</v>
      </c>
      <c r="K494" s="5">
        <v>45895</v>
      </c>
      <c r="L494" s="7">
        <v>46022</v>
      </c>
    </row>
    <row r="495" spans="1:12" hidden="1" x14ac:dyDescent="0.25">
      <c r="A495" s="4">
        <v>489</v>
      </c>
      <c r="B495" s="2" t="str">
        <f>HYPERLINK("https://my.zakupivli.pro/remote/dispatcher/state_purchase_view/61726766", "UA-2025-09-04-011710-a")</f>
        <v>UA-2025-09-04-011710-a</v>
      </c>
      <c r="C495" s="1" t="s">
        <v>1522</v>
      </c>
      <c r="D495" s="1" t="s">
        <v>852</v>
      </c>
      <c r="E495" s="1" t="s">
        <v>1553</v>
      </c>
      <c r="F495" s="1" t="s">
        <v>87</v>
      </c>
      <c r="G495" s="1" t="s">
        <v>1581</v>
      </c>
      <c r="H495" s="1" t="s">
        <v>559</v>
      </c>
      <c r="I495" s="1" t="s">
        <v>761</v>
      </c>
      <c r="J495" s="6">
        <v>1380</v>
      </c>
      <c r="K495" s="5">
        <v>45902</v>
      </c>
      <c r="L495" s="7">
        <v>46022</v>
      </c>
    </row>
    <row r="496" spans="1:12" hidden="1" x14ac:dyDescent="0.25">
      <c r="A496" s="4">
        <v>490</v>
      </c>
      <c r="B496" s="2" t="str">
        <f>HYPERLINK("https://my.zakupivli.pro/remote/dispatcher/state_purchase_view/61726304", "UA-2025-09-04-011536-a")</f>
        <v>UA-2025-09-04-011536-a</v>
      </c>
      <c r="C496" s="1" t="s">
        <v>1549</v>
      </c>
      <c r="D496" s="1" t="s">
        <v>440</v>
      </c>
      <c r="E496" s="1" t="s">
        <v>1553</v>
      </c>
      <c r="F496" s="1" t="s">
        <v>87</v>
      </c>
      <c r="G496" s="1" t="s">
        <v>1581</v>
      </c>
      <c r="H496" s="1" t="s">
        <v>559</v>
      </c>
      <c r="I496" s="1" t="s">
        <v>762</v>
      </c>
      <c r="J496" s="6">
        <v>1350</v>
      </c>
      <c r="K496" s="5">
        <v>45902</v>
      </c>
      <c r="L496" s="7">
        <v>46022</v>
      </c>
    </row>
    <row r="497" spans="1:12" hidden="1" x14ac:dyDescent="0.25">
      <c r="A497" s="4">
        <v>491</v>
      </c>
      <c r="B497" s="2" t="str">
        <f>HYPERLINK("https://my.zakupivli.pro/remote/dispatcher/state_purchase_view/61724614", "UA-2025-09-04-010755-a")</f>
        <v>UA-2025-09-04-010755-a</v>
      </c>
      <c r="C497" s="1" t="s">
        <v>1521</v>
      </c>
      <c r="D497" s="1" t="s">
        <v>648</v>
      </c>
      <c r="E497" s="1" t="s">
        <v>1553</v>
      </c>
      <c r="F497" s="1" t="s">
        <v>87</v>
      </c>
      <c r="G497" s="1" t="s">
        <v>1428</v>
      </c>
      <c r="H497" s="1" t="s">
        <v>587</v>
      </c>
      <c r="I497" s="1" t="s">
        <v>879</v>
      </c>
      <c r="J497" s="6">
        <v>32724</v>
      </c>
      <c r="K497" s="5">
        <v>45902</v>
      </c>
      <c r="L497" s="7">
        <v>46022</v>
      </c>
    </row>
    <row r="498" spans="1:12" hidden="1" x14ac:dyDescent="0.25">
      <c r="A498" s="4">
        <v>492</v>
      </c>
      <c r="B498" s="2" t="str">
        <f>HYPERLINK("https://my.zakupivli.pro/remote/dispatcher/state_purchase_view/61722206", "UA-2025-09-04-009608-a")</f>
        <v>UA-2025-09-04-009608-a</v>
      </c>
      <c r="C498" s="1" t="s">
        <v>1798</v>
      </c>
      <c r="D498" s="1" t="s">
        <v>952</v>
      </c>
      <c r="E498" s="1" t="s">
        <v>1553</v>
      </c>
      <c r="F498" s="1" t="s">
        <v>87</v>
      </c>
      <c r="G498" s="1" t="s">
        <v>2148</v>
      </c>
      <c r="H498" s="1" t="s">
        <v>116</v>
      </c>
      <c r="I498" s="1" t="s">
        <v>1272</v>
      </c>
      <c r="J498" s="6">
        <v>2585.52</v>
      </c>
      <c r="K498" s="5">
        <v>45902</v>
      </c>
      <c r="L498" s="7">
        <v>46022</v>
      </c>
    </row>
    <row r="499" spans="1:12" hidden="1" x14ac:dyDescent="0.25">
      <c r="A499" s="4">
        <v>493</v>
      </c>
      <c r="B499" s="2" t="str">
        <f>HYPERLINK("https://my.zakupivli.pro/remote/dispatcher/state_purchase_view/61714092", "UA-2025-09-04-006097-a")</f>
        <v>UA-2025-09-04-006097-a</v>
      </c>
      <c r="C499" s="1" t="s">
        <v>2292</v>
      </c>
      <c r="D499" s="1" t="s">
        <v>348</v>
      </c>
      <c r="E499" s="1" t="s">
        <v>1553</v>
      </c>
      <c r="F499" s="1" t="s">
        <v>87</v>
      </c>
      <c r="G499" s="1" t="s">
        <v>2266</v>
      </c>
      <c r="H499" s="1" t="s">
        <v>625</v>
      </c>
      <c r="I499" s="1" t="s">
        <v>765</v>
      </c>
      <c r="J499" s="6">
        <v>750</v>
      </c>
      <c r="K499" s="5">
        <v>45903</v>
      </c>
      <c r="L499" s="7">
        <v>46022</v>
      </c>
    </row>
    <row r="500" spans="1:12" hidden="1" x14ac:dyDescent="0.25">
      <c r="A500" s="4">
        <v>494</v>
      </c>
      <c r="B500" s="2" t="str">
        <f>HYPERLINK("https://my.zakupivli.pro/remote/dispatcher/state_purchase_view/61712091", "UA-2025-09-04-005152-a")</f>
        <v>UA-2025-09-04-005152-a</v>
      </c>
      <c r="C500" s="1" t="s">
        <v>1815</v>
      </c>
      <c r="D500" s="1" t="s">
        <v>1282</v>
      </c>
      <c r="E500" s="1" t="s">
        <v>1553</v>
      </c>
      <c r="F500" s="1" t="s">
        <v>87</v>
      </c>
      <c r="G500" s="1" t="s">
        <v>1405</v>
      </c>
      <c r="H500" s="1" t="s">
        <v>780</v>
      </c>
      <c r="I500" s="1" t="s">
        <v>760</v>
      </c>
      <c r="J500" s="6">
        <v>20000</v>
      </c>
      <c r="K500" s="5">
        <v>45903</v>
      </c>
      <c r="L500" s="7">
        <v>46022</v>
      </c>
    </row>
    <row r="501" spans="1:12" hidden="1" x14ac:dyDescent="0.25">
      <c r="A501" s="4">
        <v>495</v>
      </c>
      <c r="B501" s="2" t="str">
        <f>HYPERLINK("https://my.zakupivli.pro/remote/dispatcher/state_purchase_view/61690764", "UA-2025-09-03-009903-a")</f>
        <v>UA-2025-09-03-009903-a</v>
      </c>
      <c r="C501" s="1" t="s">
        <v>1958</v>
      </c>
      <c r="D501" s="1" t="s">
        <v>736</v>
      </c>
      <c r="E501" s="1" t="s">
        <v>1553</v>
      </c>
      <c r="F501" s="1" t="s">
        <v>87</v>
      </c>
      <c r="G501" s="1" t="s">
        <v>2228</v>
      </c>
      <c r="H501" s="1" t="s">
        <v>625</v>
      </c>
      <c r="I501" s="1" t="s">
        <v>871</v>
      </c>
      <c r="J501" s="6">
        <v>342841.7</v>
      </c>
      <c r="K501" s="5">
        <v>45926</v>
      </c>
      <c r="L501" s="7">
        <v>46028</v>
      </c>
    </row>
    <row r="502" spans="1:12" hidden="1" x14ac:dyDescent="0.25">
      <c r="A502" s="4">
        <v>496</v>
      </c>
      <c r="B502" s="2" t="str">
        <f>HYPERLINK("https://my.zakupivli.pro/remote/dispatcher/state_purchase_view/61679018", "UA-2025-09-03-004506-a")</f>
        <v>UA-2025-09-03-004506-a</v>
      </c>
      <c r="C502" s="1" t="s">
        <v>1966</v>
      </c>
      <c r="D502" s="1" t="s">
        <v>775</v>
      </c>
      <c r="E502" s="1" t="s">
        <v>1553</v>
      </c>
      <c r="F502" s="1" t="s">
        <v>87</v>
      </c>
      <c r="G502" s="1" t="s">
        <v>130</v>
      </c>
      <c r="H502" s="1" t="s">
        <v>849</v>
      </c>
      <c r="I502" s="1" t="s">
        <v>878</v>
      </c>
      <c r="J502" s="6">
        <v>5382.48</v>
      </c>
      <c r="K502" s="5">
        <v>45901</v>
      </c>
      <c r="L502" s="7">
        <v>46022</v>
      </c>
    </row>
    <row r="503" spans="1:12" hidden="1" x14ac:dyDescent="0.25">
      <c r="A503" s="4">
        <v>497</v>
      </c>
      <c r="B503" s="2" t="str">
        <f>HYPERLINK("https://my.zakupivli.pro/remote/dispatcher/state_purchase_view/61674797", "UA-2025-09-03-002607-a")</f>
        <v>UA-2025-09-03-002607-a</v>
      </c>
      <c r="C503" s="1" t="s">
        <v>1413</v>
      </c>
      <c r="D503" s="1" t="s">
        <v>623</v>
      </c>
      <c r="E503" s="1" t="s">
        <v>1553</v>
      </c>
      <c r="F503" s="1" t="s">
        <v>87</v>
      </c>
      <c r="G503" s="1" t="s">
        <v>1623</v>
      </c>
      <c r="H503" s="1" t="s">
        <v>579</v>
      </c>
      <c r="I503" s="1" t="s">
        <v>763</v>
      </c>
      <c r="J503" s="6">
        <v>31646</v>
      </c>
      <c r="K503" s="5">
        <v>45903</v>
      </c>
      <c r="L503" s="7">
        <v>46022</v>
      </c>
    </row>
    <row r="504" spans="1:12" hidden="1" x14ac:dyDescent="0.25">
      <c r="A504" s="4">
        <v>498</v>
      </c>
      <c r="B504" s="2" t="str">
        <f>HYPERLINK("https://my.zakupivli.pro/remote/dispatcher/state_purchase_view/61662975", "UA-2025-09-02-010144-a")</f>
        <v>UA-2025-09-02-010144-a</v>
      </c>
      <c r="C504" s="1" t="s">
        <v>1520</v>
      </c>
      <c r="D504" s="1" t="s">
        <v>648</v>
      </c>
      <c r="E504" s="1" t="s">
        <v>1553</v>
      </c>
      <c r="F504" s="1" t="s">
        <v>87</v>
      </c>
      <c r="G504" s="1" t="s">
        <v>2264</v>
      </c>
      <c r="H504" s="1" t="s">
        <v>604</v>
      </c>
      <c r="I504" s="1" t="s">
        <v>750</v>
      </c>
      <c r="J504" s="6">
        <v>20000</v>
      </c>
      <c r="K504" s="5">
        <v>45898</v>
      </c>
      <c r="L504" s="7">
        <v>46022</v>
      </c>
    </row>
    <row r="505" spans="1:12" hidden="1" x14ac:dyDescent="0.25">
      <c r="A505" s="4">
        <v>499</v>
      </c>
      <c r="B505" s="2" t="str">
        <f>HYPERLINK("https://my.zakupivli.pro/remote/dispatcher/state_purchase_view/61662139", "UA-2025-09-02-009825-a")</f>
        <v>UA-2025-09-02-009825-a</v>
      </c>
      <c r="C505" s="1" t="s">
        <v>1814</v>
      </c>
      <c r="D505" s="1" t="s">
        <v>1276</v>
      </c>
      <c r="E505" s="1" t="s">
        <v>1553</v>
      </c>
      <c r="F505" s="1" t="s">
        <v>87</v>
      </c>
      <c r="G505" s="1" t="s">
        <v>1762</v>
      </c>
      <c r="H505" s="1" t="s">
        <v>821</v>
      </c>
      <c r="I505" s="1" t="s">
        <v>104</v>
      </c>
      <c r="J505" s="6">
        <v>1700</v>
      </c>
      <c r="K505" s="5">
        <v>45902</v>
      </c>
      <c r="L505" s="7">
        <v>46022</v>
      </c>
    </row>
    <row r="506" spans="1:12" hidden="1" x14ac:dyDescent="0.25">
      <c r="A506" s="4">
        <v>500</v>
      </c>
      <c r="B506" s="2" t="str">
        <f>HYPERLINK("https://my.zakupivli.pro/remote/dispatcher/state_purchase_view/61660778", "UA-2025-09-02-009231-a")</f>
        <v>UA-2025-09-02-009231-a</v>
      </c>
      <c r="C506" s="1" t="s">
        <v>2004</v>
      </c>
      <c r="D506" s="1" t="s">
        <v>670</v>
      </c>
      <c r="E506" s="1" t="s">
        <v>1553</v>
      </c>
      <c r="F506" s="1" t="s">
        <v>87</v>
      </c>
      <c r="G506" s="1" t="s">
        <v>1581</v>
      </c>
      <c r="H506" s="1" t="s">
        <v>559</v>
      </c>
      <c r="I506" s="1" t="s">
        <v>753</v>
      </c>
      <c r="J506" s="6">
        <v>17028</v>
      </c>
      <c r="K506" s="5">
        <v>45902</v>
      </c>
      <c r="L506" s="7">
        <v>46022</v>
      </c>
    </row>
    <row r="507" spans="1:12" hidden="1" x14ac:dyDescent="0.25">
      <c r="A507" s="4">
        <v>501</v>
      </c>
      <c r="B507" s="2" t="str">
        <f>HYPERLINK("https://my.zakupivli.pro/remote/dispatcher/state_purchase_view/61652645", "UA-2025-09-02-005633-a")</f>
        <v>UA-2025-09-02-005633-a</v>
      </c>
      <c r="C507" s="1" t="s">
        <v>1704</v>
      </c>
      <c r="D507" s="1" t="s">
        <v>1112</v>
      </c>
      <c r="E507" s="1" t="s">
        <v>1553</v>
      </c>
      <c r="F507" s="1" t="s">
        <v>87</v>
      </c>
      <c r="G507" s="1" t="s">
        <v>2013</v>
      </c>
      <c r="H507" s="1" t="s">
        <v>556</v>
      </c>
      <c r="I507" s="1" t="s">
        <v>141</v>
      </c>
      <c r="J507" s="6">
        <v>23850</v>
      </c>
      <c r="K507" s="5">
        <v>45898</v>
      </c>
      <c r="L507" s="7">
        <v>46022</v>
      </c>
    </row>
    <row r="508" spans="1:12" hidden="1" x14ac:dyDescent="0.25">
      <c r="A508" s="4">
        <v>502</v>
      </c>
      <c r="B508" s="2" t="str">
        <f>HYPERLINK("https://my.zakupivli.pro/remote/dispatcher/state_purchase_view/61647790", "UA-2025-09-02-003486-a")</f>
        <v>UA-2025-09-02-003486-a</v>
      </c>
      <c r="C508" s="1" t="s">
        <v>2263</v>
      </c>
      <c r="D508" s="1" t="s">
        <v>483</v>
      </c>
      <c r="E508" s="1" t="s">
        <v>1553</v>
      </c>
      <c r="F508" s="1" t="s">
        <v>87</v>
      </c>
      <c r="G508" s="1"/>
      <c r="H508" s="1"/>
      <c r="I508" s="1"/>
      <c r="J508" s="1"/>
      <c r="K508" s="1" t="s">
        <v>53</v>
      </c>
      <c r="L508" s="1"/>
    </row>
    <row r="509" spans="1:12" hidden="1" x14ac:dyDescent="0.25">
      <c r="A509" s="4">
        <v>503</v>
      </c>
      <c r="B509" s="2" t="str">
        <f>HYPERLINK("https://my.zakupivli.pro/remote/dispatcher/state_purchase_view/61617357", "UA-2025-09-01-000321-a")</f>
        <v>UA-2025-09-01-000321-a</v>
      </c>
      <c r="C509" s="1" t="s">
        <v>2179</v>
      </c>
      <c r="D509" s="1" t="s">
        <v>899</v>
      </c>
      <c r="E509" s="1" t="s">
        <v>1553</v>
      </c>
      <c r="F509" s="1" t="s">
        <v>87</v>
      </c>
      <c r="G509" s="1" t="s">
        <v>2018</v>
      </c>
      <c r="H509" s="1" t="s">
        <v>611</v>
      </c>
      <c r="I509" s="1" t="s">
        <v>747</v>
      </c>
      <c r="J509" s="6">
        <v>498</v>
      </c>
      <c r="K509" s="5">
        <v>45898</v>
      </c>
      <c r="L509" s="7">
        <v>46022</v>
      </c>
    </row>
    <row r="510" spans="1:12" hidden="1" x14ac:dyDescent="0.25">
      <c r="A510" s="4">
        <v>504</v>
      </c>
      <c r="B510" s="2" t="str">
        <f>HYPERLINK("https://my.zakupivli.pro/remote/dispatcher/state_purchase_view/61608582", "UA-2025-08-29-007290-a")</f>
        <v>UA-2025-08-29-007290-a</v>
      </c>
      <c r="C510" s="1" t="s">
        <v>1936</v>
      </c>
      <c r="D510" s="1" t="s">
        <v>853</v>
      </c>
      <c r="E510" s="1" t="s">
        <v>1553</v>
      </c>
      <c r="F510" s="1" t="s">
        <v>87</v>
      </c>
      <c r="G510" s="1" t="s">
        <v>2163</v>
      </c>
      <c r="H510" s="1" t="s">
        <v>973</v>
      </c>
      <c r="I510" s="1" t="s">
        <v>1641</v>
      </c>
      <c r="J510" s="6">
        <v>34989</v>
      </c>
      <c r="K510" s="5">
        <v>45896</v>
      </c>
      <c r="L510" s="7">
        <v>46022</v>
      </c>
    </row>
    <row r="511" spans="1:12" hidden="1" x14ac:dyDescent="0.25">
      <c r="A511" s="4">
        <v>505</v>
      </c>
      <c r="B511" s="2" t="str">
        <f>HYPERLINK("https://my.zakupivli.pro/remote/dispatcher/state_purchase_view/61563380", "UA-2025-08-27-011541-a")</f>
        <v>UA-2025-08-27-011541-a</v>
      </c>
      <c r="C511" s="1" t="s">
        <v>2194</v>
      </c>
      <c r="D511" s="1" t="s">
        <v>1149</v>
      </c>
      <c r="E511" s="1" t="s">
        <v>1553</v>
      </c>
      <c r="F511" s="1" t="s">
        <v>87</v>
      </c>
      <c r="G511" s="1" t="s">
        <v>2086</v>
      </c>
      <c r="H511" s="1" t="s">
        <v>943</v>
      </c>
      <c r="I511" s="1" t="s">
        <v>499</v>
      </c>
      <c r="J511" s="6">
        <v>115380</v>
      </c>
      <c r="K511" s="5">
        <v>45915</v>
      </c>
      <c r="L511" s="7">
        <v>45958</v>
      </c>
    </row>
    <row r="512" spans="1:12" hidden="1" x14ac:dyDescent="0.25">
      <c r="A512" s="4">
        <v>506</v>
      </c>
      <c r="B512" s="2" t="str">
        <f>HYPERLINK("https://my.zakupivli.pro/remote/dispatcher/state_purchase_view/61551082", "UA-2025-08-27-005872-a")</f>
        <v>UA-2025-08-27-005872-a</v>
      </c>
      <c r="C512" s="1" t="s">
        <v>2181</v>
      </c>
      <c r="D512" s="1" t="s">
        <v>899</v>
      </c>
      <c r="E512" s="1" t="s">
        <v>1553</v>
      </c>
      <c r="F512" s="1" t="s">
        <v>87</v>
      </c>
      <c r="G512" s="1" t="s">
        <v>2018</v>
      </c>
      <c r="H512" s="1" t="s">
        <v>611</v>
      </c>
      <c r="I512" s="1" t="s">
        <v>727</v>
      </c>
      <c r="J512" s="6">
        <v>576</v>
      </c>
      <c r="K512" s="5">
        <v>45896</v>
      </c>
      <c r="L512" s="7">
        <v>46022</v>
      </c>
    </row>
    <row r="513" spans="1:12" hidden="1" x14ac:dyDescent="0.25">
      <c r="A513" s="4">
        <v>507</v>
      </c>
      <c r="B513" s="2" t="str">
        <f>HYPERLINK("https://my.zakupivli.pro/remote/dispatcher/state_purchase_view/61508646", "UA-2025-08-26-000568-a")</f>
        <v>UA-2025-08-26-000568-a</v>
      </c>
      <c r="C513" s="1" t="s">
        <v>1603</v>
      </c>
      <c r="D513" s="1" t="s">
        <v>1034</v>
      </c>
      <c r="E513" s="1" t="s">
        <v>1553</v>
      </c>
      <c r="F513" s="1" t="s">
        <v>87</v>
      </c>
      <c r="G513" s="1" t="s">
        <v>1623</v>
      </c>
      <c r="H513" s="1" t="s">
        <v>579</v>
      </c>
      <c r="I513" s="1" t="s">
        <v>723</v>
      </c>
      <c r="J513" s="6">
        <v>29120</v>
      </c>
      <c r="K513" s="5">
        <v>45895</v>
      </c>
      <c r="L513" s="7">
        <v>46022</v>
      </c>
    </row>
    <row r="514" spans="1:12" hidden="1" x14ac:dyDescent="0.25">
      <c r="A514" s="4">
        <v>508</v>
      </c>
      <c r="B514" s="2" t="str">
        <f>HYPERLINK("https://my.zakupivli.pro/remote/dispatcher/state_purchase_view/61501156", "UA-2025-08-25-010588-a")</f>
        <v>UA-2025-08-25-010588-a</v>
      </c>
      <c r="C514" s="1" t="s">
        <v>2045</v>
      </c>
      <c r="D514" s="1" t="s">
        <v>1178</v>
      </c>
      <c r="E514" s="1" t="s">
        <v>1553</v>
      </c>
      <c r="F514" s="1" t="s">
        <v>87</v>
      </c>
      <c r="G514" s="1" t="s">
        <v>2109</v>
      </c>
      <c r="H514" s="1" t="s">
        <v>1080</v>
      </c>
      <c r="I514" s="1" t="s">
        <v>811</v>
      </c>
      <c r="J514" s="6">
        <v>2204000</v>
      </c>
      <c r="K514" s="5">
        <v>45915</v>
      </c>
      <c r="L514" s="7">
        <v>46048</v>
      </c>
    </row>
    <row r="515" spans="1:12" hidden="1" x14ac:dyDescent="0.25">
      <c r="A515" s="4">
        <v>509</v>
      </c>
      <c r="B515" s="2" t="str">
        <f>HYPERLINK("https://my.zakupivli.pro/remote/dispatcher/state_purchase_view/61471835", "UA-2025-08-22-009698-a")</f>
        <v>UA-2025-08-22-009698-a</v>
      </c>
      <c r="C515" s="1" t="s">
        <v>1382</v>
      </c>
      <c r="D515" s="1" t="s">
        <v>598</v>
      </c>
      <c r="E515" s="1" t="s">
        <v>1553</v>
      </c>
      <c r="F515" s="1" t="s">
        <v>87</v>
      </c>
      <c r="G515" s="1" t="s">
        <v>2229</v>
      </c>
      <c r="H515" s="1" t="s">
        <v>726</v>
      </c>
      <c r="I515" s="1" t="s">
        <v>819</v>
      </c>
      <c r="J515" s="6">
        <v>367341</v>
      </c>
      <c r="K515" s="5">
        <v>45912</v>
      </c>
      <c r="L515" s="7">
        <v>45937</v>
      </c>
    </row>
    <row r="516" spans="1:12" hidden="1" x14ac:dyDescent="0.25">
      <c r="A516" s="4">
        <v>510</v>
      </c>
      <c r="B516" s="2" t="str">
        <f>HYPERLINK("https://my.zakupivli.pro/remote/dispatcher/state_purchase_view/61466847", "UA-2025-08-22-007547-a")</f>
        <v>UA-2025-08-22-007547-a</v>
      </c>
      <c r="C516" s="1" t="s">
        <v>1779</v>
      </c>
      <c r="D516" s="1" t="s">
        <v>1109</v>
      </c>
      <c r="E516" s="1" t="s">
        <v>1553</v>
      </c>
      <c r="F516" s="1" t="s">
        <v>87</v>
      </c>
      <c r="G516" s="1" t="s">
        <v>2100</v>
      </c>
      <c r="H516" s="1" t="s">
        <v>967</v>
      </c>
      <c r="I516" s="1" t="s">
        <v>1550</v>
      </c>
      <c r="J516" s="6">
        <v>5900</v>
      </c>
      <c r="K516" s="5">
        <v>45891</v>
      </c>
      <c r="L516" s="7">
        <v>46022</v>
      </c>
    </row>
    <row r="517" spans="1:12" hidden="1" x14ac:dyDescent="0.25">
      <c r="A517" s="4">
        <v>511</v>
      </c>
      <c r="B517" s="2" t="str">
        <f>HYPERLINK("https://my.zakupivli.pro/remote/dispatcher/state_purchase_view/61460766", "UA-2025-08-22-004824-a")</f>
        <v>UA-2025-08-22-004824-a</v>
      </c>
      <c r="C517" s="1" t="s">
        <v>1714</v>
      </c>
      <c r="D517" s="1" t="s">
        <v>713</v>
      </c>
      <c r="E517" s="1" t="s">
        <v>1553</v>
      </c>
      <c r="F517" s="1" t="s">
        <v>87</v>
      </c>
      <c r="G517" s="1" t="s">
        <v>2085</v>
      </c>
      <c r="H517" s="1" t="s">
        <v>1009</v>
      </c>
      <c r="I517" s="1" t="s">
        <v>783</v>
      </c>
      <c r="J517" s="6">
        <v>1074593.3899999999</v>
      </c>
      <c r="K517" s="5">
        <v>45912</v>
      </c>
      <c r="L517" s="7">
        <v>46022</v>
      </c>
    </row>
    <row r="518" spans="1:12" hidden="1" x14ac:dyDescent="0.25">
      <c r="A518" s="4">
        <v>512</v>
      </c>
      <c r="B518" s="2" t="str">
        <f>HYPERLINK("https://my.zakupivli.pro/remote/dispatcher/state_purchase_view/61456850", "UA-2025-08-22-003137-a")</f>
        <v>UA-2025-08-22-003137-a</v>
      </c>
      <c r="C518" s="1" t="s">
        <v>1808</v>
      </c>
      <c r="D518" s="1" t="s">
        <v>910</v>
      </c>
      <c r="E518" s="1" t="s">
        <v>1553</v>
      </c>
      <c r="F518" s="1" t="s">
        <v>87</v>
      </c>
      <c r="G518" s="1" t="s">
        <v>2021</v>
      </c>
      <c r="H518" s="1" t="s">
        <v>535</v>
      </c>
      <c r="I518" s="1" t="s">
        <v>720</v>
      </c>
      <c r="J518" s="6">
        <v>10745</v>
      </c>
      <c r="K518" s="5">
        <v>45891</v>
      </c>
      <c r="L518" s="7">
        <v>46022</v>
      </c>
    </row>
    <row r="519" spans="1:12" hidden="1" x14ac:dyDescent="0.25">
      <c r="A519" s="4">
        <v>513</v>
      </c>
      <c r="B519" s="2" t="str">
        <f>HYPERLINK("https://my.zakupivli.pro/remote/dispatcher/state_purchase_view/61455661", "UA-2025-08-22-002609-a")</f>
        <v>UA-2025-08-22-002609-a</v>
      </c>
      <c r="C519" s="1" t="s">
        <v>2249</v>
      </c>
      <c r="D519" s="1" t="s">
        <v>340</v>
      </c>
      <c r="E519" s="1" t="s">
        <v>1553</v>
      </c>
      <c r="F519" s="1" t="s">
        <v>87</v>
      </c>
      <c r="G519" s="1" t="s">
        <v>1759</v>
      </c>
      <c r="H519" s="1" t="s">
        <v>295</v>
      </c>
      <c r="I519" s="1" t="s">
        <v>693</v>
      </c>
      <c r="J519" s="6">
        <v>8572.2000000000007</v>
      </c>
      <c r="K519" s="5">
        <v>45891</v>
      </c>
      <c r="L519" s="7">
        <v>46022</v>
      </c>
    </row>
    <row r="520" spans="1:12" hidden="1" x14ac:dyDescent="0.25">
      <c r="A520" s="4">
        <v>514</v>
      </c>
      <c r="B520" s="2" t="str">
        <f>HYPERLINK("https://my.zakupivli.pro/remote/dispatcher/state_purchase_view/61415956", "UA-2025-08-20-010631-a")</f>
        <v>UA-2025-08-20-010631-a</v>
      </c>
      <c r="C520" s="1" t="s">
        <v>1544</v>
      </c>
      <c r="D520" s="1" t="s">
        <v>488</v>
      </c>
      <c r="E520" s="1" t="s">
        <v>1553</v>
      </c>
      <c r="F520" s="1" t="s">
        <v>87</v>
      </c>
      <c r="G520" s="1" t="s">
        <v>2085</v>
      </c>
      <c r="H520" s="1" t="s">
        <v>1009</v>
      </c>
      <c r="I520" s="1" t="s">
        <v>784</v>
      </c>
      <c r="J520" s="6">
        <v>3543370.64</v>
      </c>
      <c r="K520" s="5">
        <v>45912</v>
      </c>
      <c r="L520" s="7">
        <v>46038</v>
      </c>
    </row>
    <row r="521" spans="1:12" hidden="1" x14ac:dyDescent="0.25">
      <c r="A521" s="4">
        <v>515</v>
      </c>
      <c r="B521" s="2" t="str">
        <f>HYPERLINK("https://my.zakupivli.pro/remote/dispatcher/state_purchase_view/61397118", "UA-2025-08-20-002339-a")</f>
        <v>UA-2025-08-20-002339-a</v>
      </c>
      <c r="C521" s="1" t="s">
        <v>1909</v>
      </c>
      <c r="D521" s="1" t="s">
        <v>1264</v>
      </c>
      <c r="E521" s="1" t="s">
        <v>1553</v>
      </c>
      <c r="F521" s="1" t="s">
        <v>87</v>
      </c>
      <c r="G521" s="1" t="s">
        <v>1774</v>
      </c>
      <c r="H521" s="1" t="s">
        <v>795</v>
      </c>
      <c r="I521" s="1" t="s">
        <v>689</v>
      </c>
      <c r="J521" s="6">
        <v>1600</v>
      </c>
      <c r="K521" s="5">
        <v>45889</v>
      </c>
      <c r="L521" s="7">
        <v>46022</v>
      </c>
    </row>
    <row r="522" spans="1:12" hidden="1" x14ac:dyDescent="0.25">
      <c r="A522" s="4">
        <v>516</v>
      </c>
      <c r="B522" s="2" t="str">
        <f>HYPERLINK("https://my.zakupivli.pro/remote/dispatcher/state_purchase_view/61357503", "UA-2025-08-18-009906-a")</f>
        <v>UA-2025-08-18-009906-a</v>
      </c>
      <c r="C522" s="1" t="s">
        <v>1521</v>
      </c>
      <c r="D522" s="1" t="s">
        <v>648</v>
      </c>
      <c r="E522" s="1" t="s">
        <v>1553</v>
      </c>
      <c r="F522" s="1" t="s">
        <v>87</v>
      </c>
      <c r="G522" s="1" t="s">
        <v>2176</v>
      </c>
      <c r="H522" s="1" t="s">
        <v>603</v>
      </c>
      <c r="I522" s="1" t="s">
        <v>226</v>
      </c>
      <c r="J522" s="6">
        <v>1533</v>
      </c>
      <c r="K522" s="5">
        <v>45883</v>
      </c>
      <c r="L522" s="7">
        <v>46022</v>
      </c>
    </row>
    <row r="523" spans="1:12" hidden="1" x14ac:dyDescent="0.25">
      <c r="A523" s="4">
        <v>517</v>
      </c>
      <c r="B523" s="2" t="str">
        <f>HYPERLINK("https://my.zakupivli.pro/remote/dispatcher/state_purchase_view/61357034", "UA-2025-08-18-009686-a")</f>
        <v>UA-2025-08-18-009686-a</v>
      </c>
      <c r="C523" s="1" t="s">
        <v>1517</v>
      </c>
      <c r="D523" s="1" t="s">
        <v>648</v>
      </c>
      <c r="E523" s="1" t="s">
        <v>1553</v>
      </c>
      <c r="F523" s="1" t="s">
        <v>87</v>
      </c>
      <c r="G523" s="1" t="s">
        <v>2218</v>
      </c>
      <c r="H523" s="1" t="s">
        <v>430</v>
      </c>
      <c r="I523" s="1" t="s">
        <v>229</v>
      </c>
      <c r="J523" s="6">
        <v>16300</v>
      </c>
      <c r="K523" s="5">
        <v>45883</v>
      </c>
      <c r="L523" s="7">
        <v>46022</v>
      </c>
    </row>
    <row r="524" spans="1:12" hidden="1" x14ac:dyDescent="0.25">
      <c r="A524" s="4">
        <v>518</v>
      </c>
      <c r="B524" s="2" t="str">
        <f>HYPERLINK("https://my.zakupivli.pro/remote/dispatcher/state_purchase_view/61351660", "UA-2025-08-18-007201-a")</f>
        <v>UA-2025-08-18-007201-a</v>
      </c>
      <c r="C524" s="1" t="s">
        <v>1385</v>
      </c>
      <c r="D524" s="1" t="s">
        <v>314</v>
      </c>
      <c r="E524" s="1" t="s">
        <v>1553</v>
      </c>
      <c r="F524" s="1" t="s">
        <v>87</v>
      </c>
      <c r="G524" s="1" t="s">
        <v>1623</v>
      </c>
      <c r="H524" s="1" t="s">
        <v>579</v>
      </c>
      <c r="I524" s="1" t="s">
        <v>688</v>
      </c>
      <c r="J524" s="6">
        <v>20000</v>
      </c>
      <c r="K524" s="5">
        <v>45887</v>
      </c>
      <c r="L524" s="7">
        <v>46022</v>
      </c>
    </row>
    <row r="525" spans="1:12" hidden="1" x14ac:dyDescent="0.25">
      <c r="A525" s="4">
        <v>519</v>
      </c>
      <c r="B525" s="2" t="str">
        <f>HYPERLINK("https://my.zakupivli.pro/remote/dispatcher/state_purchase_view/61343915", "UA-2025-08-18-003702-a")</f>
        <v>UA-2025-08-18-003702-a</v>
      </c>
      <c r="C525" s="1" t="s">
        <v>1674</v>
      </c>
      <c r="D525" s="1" t="s">
        <v>650</v>
      </c>
      <c r="E525" s="1" t="s">
        <v>1553</v>
      </c>
      <c r="F525" s="1" t="s">
        <v>87</v>
      </c>
      <c r="G525" s="1" t="s">
        <v>2154</v>
      </c>
      <c r="H525" s="1" t="s">
        <v>938</v>
      </c>
      <c r="I525" s="1" t="s">
        <v>563</v>
      </c>
      <c r="J525" s="6">
        <v>54070</v>
      </c>
      <c r="K525" s="5">
        <v>45882</v>
      </c>
      <c r="L525" s="7">
        <v>46022</v>
      </c>
    </row>
    <row r="526" spans="1:12" hidden="1" x14ac:dyDescent="0.25">
      <c r="A526" s="4">
        <v>520</v>
      </c>
      <c r="B526" s="2" t="str">
        <f>HYPERLINK("https://my.zakupivli.pro/remote/dispatcher/state_purchase_view/61329960", "UA-2025-08-15-009312-a")</f>
        <v>UA-2025-08-15-009312-a</v>
      </c>
      <c r="C526" s="1" t="s">
        <v>2260</v>
      </c>
      <c r="D526" s="1" t="s">
        <v>729</v>
      </c>
      <c r="E526" s="1" t="s">
        <v>1553</v>
      </c>
      <c r="F526" s="1" t="s">
        <v>87</v>
      </c>
      <c r="G526" s="1" t="s">
        <v>2104</v>
      </c>
      <c r="H526" s="1" t="s">
        <v>847</v>
      </c>
      <c r="I526" s="1" t="s">
        <v>756</v>
      </c>
      <c r="J526" s="6">
        <v>50362</v>
      </c>
      <c r="K526" s="5">
        <v>45898</v>
      </c>
      <c r="L526" s="7">
        <v>46037</v>
      </c>
    </row>
    <row r="527" spans="1:12" hidden="1" x14ac:dyDescent="0.25">
      <c r="A527" s="4">
        <v>521</v>
      </c>
      <c r="B527" s="2" t="str">
        <f>HYPERLINK("https://my.zakupivli.pro/remote/dispatcher/state_purchase_view/61315361", "UA-2025-08-15-002559-a")</f>
        <v>UA-2025-08-15-002559-a</v>
      </c>
      <c r="C527" s="1" t="s">
        <v>1612</v>
      </c>
      <c r="D527" s="1" t="s">
        <v>899</v>
      </c>
      <c r="E527" s="1" t="s">
        <v>1553</v>
      </c>
      <c r="F527" s="1" t="s">
        <v>87</v>
      </c>
      <c r="G527" s="1" t="s">
        <v>2018</v>
      </c>
      <c r="H527" s="1" t="s">
        <v>611</v>
      </c>
      <c r="I527" s="1" t="s">
        <v>686</v>
      </c>
      <c r="J527" s="6">
        <v>8960</v>
      </c>
      <c r="K527" s="5">
        <v>45884</v>
      </c>
      <c r="L527" s="7">
        <v>46022</v>
      </c>
    </row>
    <row r="528" spans="1:12" hidden="1" x14ac:dyDescent="0.25">
      <c r="A528" s="4">
        <v>522</v>
      </c>
      <c r="B528" s="2" t="str">
        <f>HYPERLINK("https://my.zakupivli.pro/remote/dispatcher/state_purchase_view/61313606", "UA-2025-08-15-001815-a")</f>
        <v>UA-2025-08-15-001815-a</v>
      </c>
      <c r="C528" s="1" t="s">
        <v>2206</v>
      </c>
      <c r="D528" s="1" t="s">
        <v>280</v>
      </c>
      <c r="E528" s="1" t="s">
        <v>1553</v>
      </c>
      <c r="F528" s="1" t="s">
        <v>87</v>
      </c>
      <c r="G528" s="1" t="s">
        <v>1623</v>
      </c>
      <c r="H528" s="1" t="s">
        <v>579</v>
      </c>
      <c r="I528" s="1" t="s">
        <v>676</v>
      </c>
      <c r="J528" s="6">
        <v>5316</v>
      </c>
      <c r="K528" s="5">
        <v>45884</v>
      </c>
      <c r="L528" s="7">
        <v>46022</v>
      </c>
    </row>
    <row r="529" spans="1:12" hidden="1" x14ac:dyDescent="0.25">
      <c r="A529" s="4">
        <v>523</v>
      </c>
      <c r="B529" s="2" t="str">
        <f>HYPERLINK("https://my.zakupivli.pro/remote/dispatcher/state_purchase_view/61313410", "UA-2025-08-15-001684-a")</f>
        <v>UA-2025-08-15-001684-a</v>
      </c>
      <c r="C529" s="1" t="s">
        <v>1609</v>
      </c>
      <c r="D529" s="1" t="s">
        <v>1032</v>
      </c>
      <c r="E529" s="1" t="s">
        <v>1553</v>
      </c>
      <c r="F529" s="1" t="s">
        <v>87</v>
      </c>
      <c r="G529" s="1" t="s">
        <v>1623</v>
      </c>
      <c r="H529" s="1" t="s">
        <v>579</v>
      </c>
      <c r="I529" s="1" t="s">
        <v>683</v>
      </c>
      <c r="J529" s="6">
        <v>63999</v>
      </c>
      <c r="K529" s="5">
        <v>45884</v>
      </c>
      <c r="L529" s="7">
        <v>46022</v>
      </c>
    </row>
    <row r="530" spans="1:12" hidden="1" x14ac:dyDescent="0.25">
      <c r="A530" s="4">
        <v>524</v>
      </c>
      <c r="B530" s="2" t="str">
        <f>HYPERLINK("https://my.zakupivli.pro/remote/dispatcher/state_purchase_view/61311757", "UA-2025-08-15-000938-a")</f>
        <v>UA-2025-08-15-000938-a</v>
      </c>
      <c r="C530" s="1" t="s">
        <v>1919</v>
      </c>
      <c r="D530" s="1" t="s">
        <v>1267</v>
      </c>
      <c r="E530" s="1" t="s">
        <v>1553</v>
      </c>
      <c r="F530" s="1" t="s">
        <v>87</v>
      </c>
      <c r="G530" s="1" t="s">
        <v>1743</v>
      </c>
      <c r="H530" s="1" t="s">
        <v>538</v>
      </c>
      <c r="I530" s="1" t="s">
        <v>671</v>
      </c>
      <c r="J530" s="6">
        <v>99900</v>
      </c>
      <c r="K530" s="5">
        <v>45884</v>
      </c>
      <c r="L530" s="7">
        <v>46022</v>
      </c>
    </row>
    <row r="531" spans="1:12" hidden="1" x14ac:dyDescent="0.25">
      <c r="A531" s="4">
        <v>525</v>
      </c>
      <c r="B531" s="2" t="str">
        <f>HYPERLINK("https://my.zakupivli.pro/remote/dispatcher/state_purchase_view/61256313", "UA-2025-08-13-001658-a")</f>
        <v>UA-2025-08-13-001658-a</v>
      </c>
      <c r="C531" s="1" t="s">
        <v>1587</v>
      </c>
      <c r="D531" s="1" t="s">
        <v>493</v>
      </c>
      <c r="E531" s="1" t="s">
        <v>1553</v>
      </c>
      <c r="F531" s="1" t="s">
        <v>87</v>
      </c>
      <c r="G531" s="1" t="s">
        <v>1644</v>
      </c>
      <c r="H531" s="1" t="s">
        <v>324</v>
      </c>
      <c r="I531" s="1" t="s">
        <v>660</v>
      </c>
      <c r="J531" s="6">
        <v>4200</v>
      </c>
      <c r="K531" s="5">
        <v>45882</v>
      </c>
      <c r="L531" s="7">
        <v>46022</v>
      </c>
    </row>
    <row r="532" spans="1:12" hidden="1" x14ac:dyDescent="0.25">
      <c r="A532" s="4">
        <v>526</v>
      </c>
      <c r="B532" s="2" t="str">
        <f>HYPERLINK("https://my.zakupivli.pro/remote/dispatcher/state_purchase_view/61237675", "UA-2025-08-12-006183-a")</f>
        <v>UA-2025-08-12-006183-a</v>
      </c>
      <c r="C532" s="1" t="s">
        <v>1585</v>
      </c>
      <c r="D532" s="1" t="s">
        <v>705</v>
      </c>
      <c r="E532" s="1" t="s">
        <v>1553</v>
      </c>
      <c r="F532" s="1" t="s">
        <v>87</v>
      </c>
      <c r="G532" s="1" t="s">
        <v>2167</v>
      </c>
      <c r="H532" s="1" t="s">
        <v>1084</v>
      </c>
      <c r="I532" s="1" t="s">
        <v>369</v>
      </c>
      <c r="J532" s="6">
        <v>7956.52</v>
      </c>
      <c r="K532" s="5">
        <v>45880</v>
      </c>
      <c r="L532" s="7">
        <v>46022</v>
      </c>
    </row>
    <row r="533" spans="1:12" hidden="1" x14ac:dyDescent="0.25">
      <c r="A533" s="4">
        <v>527</v>
      </c>
      <c r="B533" s="2" t="str">
        <f>HYPERLINK("https://my.zakupivli.pro/remote/dispatcher/state_purchase_view/61237187", "UA-2025-08-12-005955-a")</f>
        <v>UA-2025-08-12-005955-a</v>
      </c>
      <c r="C533" s="1" t="s">
        <v>2182</v>
      </c>
      <c r="D533" s="1" t="s">
        <v>910</v>
      </c>
      <c r="E533" s="1" t="s">
        <v>1553</v>
      </c>
      <c r="F533" s="1" t="s">
        <v>87</v>
      </c>
      <c r="G533" s="1" t="s">
        <v>1428</v>
      </c>
      <c r="H533" s="1" t="s">
        <v>587</v>
      </c>
      <c r="I533" s="1" t="s">
        <v>691</v>
      </c>
      <c r="J533" s="6">
        <v>15880</v>
      </c>
      <c r="K533" s="5">
        <v>45880</v>
      </c>
      <c r="L533" s="7">
        <v>46022</v>
      </c>
    </row>
    <row r="534" spans="1:12" hidden="1" x14ac:dyDescent="0.25">
      <c r="A534" s="4">
        <v>528</v>
      </c>
      <c r="B534" s="2" t="str">
        <f>HYPERLINK("https://my.zakupivli.pro/remote/dispatcher/state_purchase_view/61220626", "UA-2025-08-11-010540-a")</f>
        <v>UA-2025-08-11-010540-a</v>
      </c>
      <c r="C534" s="1" t="s">
        <v>1625</v>
      </c>
      <c r="D534" s="1" t="s">
        <v>713</v>
      </c>
      <c r="E534" s="1" t="s">
        <v>1553</v>
      </c>
      <c r="F534" s="1" t="s">
        <v>87</v>
      </c>
      <c r="G534" s="1" t="s">
        <v>2202</v>
      </c>
      <c r="H534" s="1" t="s">
        <v>798</v>
      </c>
      <c r="I534" s="1" t="s">
        <v>778</v>
      </c>
      <c r="J534" s="6">
        <v>3028297.2</v>
      </c>
      <c r="K534" s="5">
        <v>45905</v>
      </c>
      <c r="L534" s="7">
        <v>45979</v>
      </c>
    </row>
    <row r="535" spans="1:12" hidden="1" x14ac:dyDescent="0.25">
      <c r="A535" s="4">
        <v>529</v>
      </c>
      <c r="B535" s="2" t="str">
        <f>HYPERLINK("https://my.zakupivli.pro/remote/dispatcher/state_purchase_view/61213257", "UA-2025-08-11-007231-a")</f>
        <v>UA-2025-08-11-007231-a</v>
      </c>
      <c r="C535" s="1" t="s">
        <v>1532</v>
      </c>
      <c r="D535" s="1" t="s">
        <v>758</v>
      </c>
      <c r="E535" s="1" t="s">
        <v>1553</v>
      </c>
      <c r="F535" s="1" t="s">
        <v>87</v>
      </c>
      <c r="G535" s="1" t="s">
        <v>1645</v>
      </c>
      <c r="H535" s="1" t="s">
        <v>801</v>
      </c>
      <c r="I535" s="1" t="s">
        <v>658</v>
      </c>
      <c r="J535" s="6">
        <v>1650</v>
      </c>
      <c r="K535" s="5">
        <v>45880</v>
      </c>
      <c r="L535" s="7">
        <v>46022</v>
      </c>
    </row>
    <row r="536" spans="1:12" hidden="1" x14ac:dyDescent="0.25">
      <c r="A536" s="4">
        <v>530</v>
      </c>
      <c r="B536" s="2" t="str">
        <f>HYPERLINK("https://my.zakupivli.pro/remote/dispatcher/state_purchase_view/61186205", "UA-2025-08-08-007059-a")</f>
        <v>UA-2025-08-08-007059-a</v>
      </c>
      <c r="C536" s="1" t="s">
        <v>1948</v>
      </c>
      <c r="D536" s="1" t="s">
        <v>1300</v>
      </c>
      <c r="E536" s="1" t="s">
        <v>1553</v>
      </c>
      <c r="F536" s="1" t="s">
        <v>87</v>
      </c>
      <c r="G536" s="1" t="s">
        <v>2137</v>
      </c>
      <c r="H536" s="1" t="s">
        <v>836</v>
      </c>
      <c r="I536" s="1" t="s">
        <v>1183</v>
      </c>
      <c r="J536" s="6">
        <v>1152</v>
      </c>
      <c r="K536" s="5">
        <v>45877</v>
      </c>
      <c r="L536" s="7">
        <v>46022</v>
      </c>
    </row>
    <row r="537" spans="1:12" hidden="1" x14ac:dyDescent="0.25">
      <c r="A537" s="4">
        <v>531</v>
      </c>
      <c r="B537" s="2" t="str">
        <f>HYPERLINK("https://my.zakupivli.pro/remote/dispatcher/state_purchase_view/61184655", "UA-2025-08-08-006413-a")</f>
        <v>UA-2025-08-08-006413-a</v>
      </c>
      <c r="C537" s="1" t="s">
        <v>1813</v>
      </c>
      <c r="D537" s="1" t="s">
        <v>1146</v>
      </c>
      <c r="E537" s="1" t="s">
        <v>1553</v>
      </c>
      <c r="F537" s="1" t="s">
        <v>87</v>
      </c>
      <c r="G537" s="1" t="s">
        <v>2133</v>
      </c>
      <c r="H537" s="1" t="s">
        <v>947</v>
      </c>
      <c r="I537" s="1" t="s">
        <v>657</v>
      </c>
      <c r="J537" s="6">
        <v>12099.6</v>
      </c>
      <c r="K537" s="5">
        <v>45877</v>
      </c>
      <c r="L537" s="7">
        <v>46022</v>
      </c>
    </row>
    <row r="538" spans="1:12" hidden="1" x14ac:dyDescent="0.25">
      <c r="A538" s="4">
        <v>532</v>
      </c>
      <c r="B538" s="2" t="str">
        <f>HYPERLINK("https://my.zakupivli.pro/remote/dispatcher/state_purchase_view/61178050", "UA-2025-08-08-003434-a")</f>
        <v>UA-2025-08-08-003434-a</v>
      </c>
      <c r="C538" s="1" t="s">
        <v>1818</v>
      </c>
      <c r="D538" s="1" t="s">
        <v>1263</v>
      </c>
      <c r="E538" s="1" t="s">
        <v>1553</v>
      </c>
      <c r="F538" s="1" t="s">
        <v>87</v>
      </c>
      <c r="G538" s="1" t="s">
        <v>2013</v>
      </c>
      <c r="H538" s="1" t="s">
        <v>556</v>
      </c>
      <c r="I538" s="1" t="s">
        <v>142</v>
      </c>
      <c r="J538" s="6">
        <v>23850</v>
      </c>
      <c r="K538" s="5">
        <v>45875</v>
      </c>
      <c r="L538" s="7">
        <v>46022</v>
      </c>
    </row>
    <row r="539" spans="1:12" hidden="1" x14ac:dyDescent="0.25">
      <c r="A539" s="4">
        <v>533</v>
      </c>
      <c r="B539" s="2" t="str">
        <f>HYPERLINK("https://my.zakupivli.pro/remote/dispatcher/state_purchase_view/61176509", "UA-2025-08-08-002683-a")</f>
        <v>UA-2025-08-08-002683-a</v>
      </c>
      <c r="C539" s="1" t="s">
        <v>1819</v>
      </c>
      <c r="D539" s="1" t="s">
        <v>1262</v>
      </c>
      <c r="E539" s="1" t="s">
        <v>1553</v>
      </c>
      <c r="F539" s="1" t="s">
        <v>87</v>
      </c>
      <c r="G539" s="1" t="s">
        <v>2013</v>
      </c>
      <c r="H539" s="1" t="s">
        <v>556</v>
      </c>
      <c r="I539" s="1" t="s">
        <v>144</v>
      </c>
      <c r="J539" s="6">
        <v>20700</v>
      </c>
      <c r="K539" s="5">
        <v>45875</v>
      </c>
      <c r="L539" s="7">
        <v>46022</v>
      </c>
    </row>
    <row r="540" spans="1:12" hidden="1" x14ac:dyDescent="0.25">
      <c r="A540" s="4">
        <v>534</v>
      </c>
      <c r="B540" s="2" t="str">
        <f>HYPERLINK("https://my.zakupivli.pro/remote/dispatcher/state_purchase_view/61174659", "UA-2025-08-08-001891-a")</f>
        <v>UA-2025-08-08-001891-a</v>
      </c>
      <c r="C540" s="1" t="s">
        <v>1867</v>
      </c>
      <c r="D540" s="1" t="s">
        <v>1162</v>
      </c>
      <c r="E540" s="1" t="s">
        <v>1553</v>
      </c>
      <c r="F540" s="1" t="s">
        <v>87</v>
      </c>
      <c r="G540" s="1" t="s">
        <v>2069</v>
      </c>
      <c r="H540" s="1" t="s">
        <v>551</v>
      </c>
      <c r="I540" s="1" t="s">
        <v>502</v>
      </c>
      <c r="J540" s="6">
        <v>34141</v>
      </c>
      <c r="K540" s="5">
        <v>45877</v>
      </c>
      <c r="L540" s="7">
        <v>46022</v>
      </c>
    </row>
    <row r="541" spans="1:12" hidden="1" x14ac:dyDescent="0.25">
      <c r="A541" s="4">
        <v>535</v>
      </c>
      <c r="B541" s="2" t="str">
        <f>HYPERLINK("https://my.zakupivli.pro/remote/dispatcher/state_purchase_view/61171766", "UA-2025-08-08-000610-a")</f>
        <v>UA-2025-08-08-000610-a</v>
      </c>
      <c r="C541" s="1" t="s">
        <v>1826</v>
      </c>
      <c r="D541" s="1" t="s">
        <v>1261</v>
      </c>
      <c r="E541" s="1" t="s">
        <v>1553</v>
      </c>
      <c r="F541" s="1" t="s">
        <v>87</v>
      </c>
      <c r="G541" s="1" t="s">
        <v>2013</v>
      </c>
      <c r="H541" s="1" t="s">
        <v>556</v>
      </c>
      <c r="I541" s="1" t="s">
        <v>145</v>
      </c>
      <c r="J541" s="6">
        <v>16200</v>
      </c>
      <c r="K541" s="5">
        <v>45875</v>
      </c>
      <c r="L541" s="7">
        <v>46022</v>
      </c>
    </row>
    <row r="542" spans="1:12" hidden="1" x14ac:dyDescent="0.25">
      <c r="A542" s="4">
        <v>536</v>
      </c>
      <c r="B542" s="2" t="str">
        <f>HYPERLINK("https://my.zakupivli.pro/remote/dispatcher/state_purchase_view/61171297", "UA-2025-08-08-000410-a")</f>
        <v>UA-2025-08-08-000410-a</v>
      </c>
      <c r="C542" s="1" t="s">
        <v>1851</v>
      </c>
      <c r="D542" s="1" t="s">
        <v>1146</v>
      </c>
      <c r="E542" s="1" t="s">
        <v>1553</v>
      </c>
      <c r="F542" s="1" t="s">
        <v>87</v>
      </c>
      <c r="G542" s="1" t="s">
        <v>1764</v>
      </c>
      <c r="H542" s="1" t="s">
        <v>105</v>
      </c>
      <c r="I542" s="1" t="s">
        <v>600</v>
      </c>
      <c r="J542" s="6">
        <v>10229.18</v>
      </c>
      <c r="K542" s="5">
        <v>45875</v>
      </c>
      <c r="L542" s="7">
        <v>46022</v>
      </c>
    </row>
    <row r="543" spans="1:12" hidden="1" x14ac:dyDescent="0.25">
      <c r="A543" s="4">
        <v>537</v>
      </c>
      <c r="B543" s="2" t="str">
        <f>HYPERLINK("https://my.zakupivli.pro/remote/dispatcher/state_purchase_view/61157625", "UA-2025-08-07-006647-a")</f>
        <v>UA-2025-08-07-006647-a</v>
      </c>
      <c r="C543" s="1" t="s">
        <v>1867</v>
      </c>
      <c r="D543" s="1" t="s">
        <v>1162</v>
      </c>
      <c r="E543" s="1" t="s">
        <v>1553</v>
      </c>
      <c r="F543" s="1" t="s">
        <v>87</v>
      </c>
      <c r="G543" s="1" t="s">
        <v>1479</v>
      </c>
      <c r="H543" s="1" t="s">
        <v>794</v>
      </c>
      <c r="I543" s="1" t="s">
        <v>185</v>
      </c>
      <c r="J543" s="6">
        <v>23964</v>
      </c>
      <c r="K543" s="5">
        <v>45876</v>
      </c>
      <c r="L543" s="7">
        <v>46022</v>
      </c>
    </row>
    <row r="544" spans="1:12" hidden="1" x14ac:dyDescent="0.25">
      <c r="A544" s="4">
        <v>538</v>
      </c>
      <c r="B544" s="2" t="str">
        <f>HYPERLINK("https://my.zakupivli.pro/remote/dispatcher/state_purchase_view/61156510", "UA-2025-08-07-006147-a")</f>
        <v>UA-2025-08-07-006147-a</v>
      </c>
      <c r="C544" s="1" t="s">
        <v>2001</v>
      </c>
      <c r="D544" s="1" t="s">
        <v>1151</v>
      </c>
      <c r="E544" s="1" t="s">
        <v>1553</v>
      </c>
      <c r="F544" s="1" t="s">
        <v>87</v>
      </c>
      <c r="G544" s="1" t="s">
        <v>2096</v>
      </c>
      <c r="H544" s="1" t="s">
        <v>629</v>
      </c>
      <c r="I544" s="1" t="s">
        <v>366</v>
      </c>
      <c r="J544" s="6">
        <v>4560</v>
      </c>
      <c r="K544" s="5">
        <v>45876</v>
      </c>
      <c r="L544" s="7">
        <v>46022</v>
      </c>
    </row>
    <row r="545" spans="1:12" hidden="1" x14ac:dyDescent="0.25">
      <c r="A545" s="4">
        <v>539</v>
      </c>
      <c r="B545" s="2" t="str">
        <f>HYPERLINK("https://my.zakupivli.pro/remote/dispatcher/state_purchase_view/61129070", "UA-2025-08-06-006003-a")</f>
        <v>UA-2025-08-06-006003-a</v>
      </c>
      <c r="C545" s="1" t="s">
        <v>1930</v>
      </c>
      <c r="D545" s="1" t="s">
        <v>1345</v>
      </c>
      <c r="E545" s="1" t="s">
        <v>1553</v>
      </c>
      <c r="F545" s="1" t="s">
        <v>87</v>
      </c>
      <c r="G545" s="1" t="s">
        <v>1558</v>
      </c>
      <c r="H545" s="1" t="s">
        <v>399</v>
      </c>
      <c r="I545" s="1" t="s">
        <v>654</v>
      </c>
      <c r="J545" s="6">
        <v>4522.5</v>
      </c>
      <c r="K545" s="5">
        <v>45875</v>
      </c>
      <c r="L545" s="7">
        <v>46022</v>
      </c>
    </row>
    <row r="546" spans="1:12" hidden="1" x14ac:dyDescent="0.25">
      <c r="A546" s="4">
        <v>540</v>
      </c>
      <c r="B546" s="2" t="str">
        <f>HYPERLINK("https://my.zakupivli.pro/remote/dispatcher/state_purchase_view/61102695", "UA-2025-08-05-006791-a")</f>
        <v>UA-2025-08-05-006791-a</v>
      </c>
      <c r="C546" s="1" t="s">
        <v>1729</v>
      </c>
      <c r="D546" s="1" t="s">
        <v>482</v>
      </c>
      <c r="E546" s="1" t="s">
        <v>1553</v>
      </c>
      <c r="F546" s="1" t="s">
        <v>87</v>
      </c>
      <c r="G546" s="1" t="s">
        <v>1769</v>
      </c>
      <c r="H546" s="1" t="s">
        <v>637</v>
      </c>
      <c r="I546" s="1"/>
      <c r="J546" s="6">
        <v>82950</v>
      </c>
      <c r="K546" s="1" t="s">
        <v>53</v>
      </c>
      <c r="L546" s="1"/>
    </row>
    <row r="547" spans="1:12" hidden="1" x14ac:dyDescent="0.25">
      <c r="A547" s="4">
        <v>541</v>
      </c>
      <c r="B547" s="2" t="str">
        <f>HYPERLINK("https://my.zakupivli.pro/remote/dispatcher/state_purchase_view/61091544", "UA-2025-08-05-001703-a")</f>
        <v>UA-2025-08-05-001703-a</v>
      </c>
      <c r="C547" s="1" t="s">
        <v>1532</v>
      </c>
      <c r="D547" s="1" t="s">
        <v>758</v>
      </c>
      <c r="E547" s="1" t="s">
        <v>1553</v>
      </c>
      <c r="F547" s="1" t="s">
        <v>87</v>
      </c>
      <c r="G547" s="1" t="s">
        <v>1645</v>
      </c>
      <c r="H547" s="1" t="s">
        <v>801</v>
      </c>
      <c r="I547" s="1" t="s">
        <v>634</v>
      </c>
      <c r="J547" s="6">
        <v>36725</v>
      </c>
      <c r="K547" s="5">
        <v>45873</v>
      </c>
      <c r="L547" s="7">
        <v>46022</v>
      </c>
    </row>
    <row r="548" spans="1:12" hidden="1" x14ac:dyDescent="0.25">
      <c r="A548" s="4">
        <v>542</v>
      </c>
      <c r="B548" s="2" t="str">
        <f>HYPERLINK("https://my.zakupivli.pro/remote/dispatcher/state_purchase_view/61091211", "UA-2025-08-05-001579-a")</f>
        <v>UA-2025-08-05-001579-a</v>
      </c>
      <c r="C548" s="1" t="s">
        <v>1533</v>
      </c>
      <c r="D548" s="1" t="s">
        <v>758</v>
      </c>
      <c r="E548" s="1" t="s">
        <v>1553</v>
      </c>
      <c r="F548" s="1" t="s">
        <v>87</v>
      </c>
      <c r="G548" s="1" t="s">
        <v>1645</v>
      </c>
      <c r="H548" s="1" t="s">
        <v>801</v>
      </c>
      <c r="I548" s="1" t="s">
        <v>628</v>
      </c>
      <c r="J548" s="6">
        <v>35580</v>
      </c>
      <c r="K548" s="5">
        <v>45873</v>
      </c>
      <c r="L548" s="7">
        <v>46022</v>
      </c>
    </row>
    <row r="549" spans="1:12" hidden="1" x14ac:dyDescent="0.25">
      <c r="A549" s="4">
        <v>543</v>
      </c>
      <c r="B549" s="2" t="str">
        <f>HYPERLINK("https://my.zakupivli.pro/remote/dispatcher/state_purchase_view/61090655", "UA-2025-08-05-001329-a")</f>
        <v>UA-2025-08-05-001329-a</v>
      </c>
      <c r="C549" s="1" t="s">
        <v>1384</v>
      </c>
      <c r="D549" s="1" t="s">
        <v>759</v>
      </c>
      <c r="E549" s="1" t="s">
        <v>1553</v>
      </c>
      <c r="F549" s="1" t="s">
        <v>87</v>
      </c>
      <c r="G549" s="1" t="s">
        <v>1645</v>
      </c>
      <c r="H549" s="1" t="s">
        <v>801</v>
      </c>
      <c r="I549" s="1" t="s">
        <v>624</v>
      </c>
      <c r="J549" s="6">
        <v>38100</v>
      </c>
      <c r="K549" s="5">
        <v>45873</v>
      </c>
      <c r="L549" s="7">
        <v>46022</v>
      </c>
    </row>
    <row r="550" spans="1:12" hidden="1" x14ac:dyDescent="0.25">
      <c r="A550" s="4">
        <v>544</v>
      </c>
      <c r="B550" s="2" t="str">
        <f>HYPERLINK("https://my.zakupivli.pro/remote/dispatcher/state_purchase_view/61090298", "UA-2025-08-05-001191-a")</f>
        <v>UA-2025-08-05-001191-a</v>
      </c>
      <c r="C550" s="1" t="s">
        <v>1671</v>
      </c>
      <c r="D550" s="1" t="s">
        <v>1064</v>
      </c>
      <c r="E550" s="1" t="s">
        <v>1553</v>
      </c>
      <c r="F550" s="1" t="s">
        <v>87</v>
      </c>
      <c r="G550" s="1" t="s">
        <v>2177</v>
      </c>
      <c r="H550" s="1" t="s">
        <v>400</v>
      </c>
      <c r="I550" s="1" t="s">
        <v>486</v>
      </c>
      <c r="J550" s="6">
        <v>3161.21</v>
      </c>
      <c r="K550" s="5">
        <v>45873</v>
      </c>
      <c r="L550" s="7">
        <v>46022</v>
      </c>
    </row>
    <row r="551" spans="1:12" hidden="1" x14ac:dyDescent="0.25">
      <c r="A551" s="4">
        <v>545</v>
      </c>
      <c r="B551" s="2" t="str">
        <f>HYPERLINK("https://my.zakupivli.pro/remote/dispatcher/state_purchase_view/61089488", "UA-2025-08-05-000821-a")</f>
        <v>UA-2025-08-05-000821-a</v>
      </c>
      <c r="C551" s="1" t="s">
        <v>1545</v>
      </c>
      <c r="D551" s="1" t="s">
        <v>1063</v>
      </c>
      <c r="E551" s="1" t="s">
        <v>1553</v>
      </c>
      <c r="F551" s="1" t="s">
        <v>87</v>
      </c>
      <c r="G551" s="1" t="s">
        <v>2015</v>
      </c>
      <c r="H551" s="1" t="s">
        <v>505</v>
      </c>
      <c r="I551" s="1" t="s">
        <v>647</v>
      </c>
      <c r="J551" s="6">
        <v>79441</v>
      </c>
      <c r="K551" s="5">
        <v>45873</v>
      </c>
      <c r="L551" s="7">
        <v>46022</v>
      </c>
    </row>
    <row r="552" spans="1:12" hidden="1" x14ac:dyDescent="0.25">
      <c r="A552" s="4">
        <v>546</v>
      </c>
      <c r="B552" s="2" t="str">
        <f>HYPERLINK("https://my.zakupivli.pro/remote/dispatcher/state_purchase_view/61089474", "UA-2025-08-05-000814-a")</f>
        <v>UA-2025-08-05-000814-a</v>
      </c>
      <c r="C552" s="1" t="s">
        <v>2040</v>
      </c>
      <c r="D552" s="1" t="s">
        <v>495</v>
      </c>
      <c r="E552" s="1" t="s">
        <v>1553</v>
      </c>
      <c r="F552" s="1" t="s">
        <v>87</v>
      </c>
      <c r="G552" s="1" t="s">
        <v>1564</v>
      </c>
      <c r="H552" s="1" t="s">
        <v>722</v>
      </c>
      <c r="I552" s="1" t="s">
        <v>589</v>
      </c>
      <c r="J552" s="6">
        <v>640</v>
      </c>
      <c r="K552" s="5">
        <v>45874</v>
      </c>
      <c r="L552" s="7">
        <v>46022</v>
      </c>
    </row>
    <row r="553" spans="1:12" hidden="1" x14ac:dyDescent="0.25">
      <c r="A553" s="4">
        <v>547</v>
      </c>
      <c r="B553" s="2" t="str">
        <f>HYPERLINK("https://my.zakupivli.pro/remote/dispatcher/state_purchase_view/61089259", "UA-2025-08-05-000700-a")</f>
        <v>UA-2025-08-05-000700-a</v>
      </c>
      <c r="C553" s="1" t="s">
        <v>1676</v>
      </c>
      <c r="D553" s="1" t="s">
        <v>1069</v>
      </c>
      <c r="E553" s="1" t="s">
        <v>1553</v>
      </c>
      <c r="F553" s="1" t="s">
        <v>87</v>
      </c>
      <c r="G553" s="1" t="s">
        <v>1772</v>
      </c>
      <c r="H553" s="1" t="s">
        <v>796</v>
      </c>
      <c r="I553" s="1" t="s">
        <v>644</v>
      </c>
      <c r="J553" s="6">
        <v>99005.21</v>
      </c>
      <c r="K553" s="5">
        <v>45873</v>
      </c>
      <c r="L553" s="7">
        <v>46022</v>
      </c>
    </row>
    <row r="554" spans="1:12" hidden="1" x14ac:dyDescent="0.25">
      <c r="A554" s="4">
        <v>548</v>
      </c>
      <c r="B554" s="2" t="str">
        <f>HYPERLINK("https://my.zakupivli.pro/remote/dispatcher/state_purchase_view/61088924", "UA-2025-08-05-000591-a")</f>
        <v>UA-2025-08-05-000591-a</v>
      </c>
      <c r="C554" s="1" t="s">
        <v>1893</v>
      </c>
      <c r="D554" s="1" t="s">
        <v>1066</v>
      </c>
      <c r="E554" s="1" t="s">
        <v>1553</v>
      </c>
      <c r="F554" s="1" t="s">
        <v>87</v>
      </c>
      <c r="G554" s="1" t="s">
        <v>1772</v>
      </c>
      <c r="H554" s="1" t="s">
        <v>796</v>
      </c>
      <c r="I554" s="1" t="s">
        <v>640</v>
      </c>
      <c r="J554" s="6">
        <v>99280.59</v>
      </c>
      <c r="K554" s="5">
        <v>45873</v>
      </c>
      <c r="L554" s="7">
        <v>46022</v>
      </c>
    </row>
    <row r="555" spans="1:12" hidden="1" x14ac:dyDescent="0.25">
      <c r="A555" s="4">
        <v>549</v>
      </c>
      <c r="B555" s="2" t="str">
        <f>HYPERLINK("https://my.zakupivli.pro/remote/dispatcher/state_purchase_view/61025936", "UA-2025-07-31-005271-a")</f>
        <v>UA-2025-07-31-005271-a</v>
      </c>
      <c r="C555" s="1" t="s">
        <v>1727</v>
      </c>
      <c r="D555" s="1" t="s">
        <v>712</v>
      </c>
      <c r="E555" s="1" t="s">
        <v>1553</v>
      </c>
      <c r="F555" s="1" t="s">
        <v>87</v>
      </c>
      <c r="G555" s="1" t="s">
        <v>1718</v>
      </c>
      <c r="H555" s="1" t="s">
        <v>450</v>
      </c>
      <c r="I555" s="1" t="s">
        <v>565</v>
      </c>
      <c r="J555" s="6">
        <v>95960</v>
      </c>
      <c r="K555" s="5">
        <v>45867</v>
      </c>
      <c r="L555" s="7">
        <v>46022</v>
      </c>
    </row>
    <row r="556" spans="1:12" hidden="1" x14ac:dyDescent="0.25">
      <c r="A556" s="4">
        <v>550</v>
      </c>
      <c r="B556" s="2" t="str">
        <f>HYPERLINK("https://my.zakupivli.pro/remote/dispatcher/state_purchase_view/61018721", "UA-2025-07-31-001955-a")</f>
        <v>UA-2025-07-31-001955-a</v>
      </c>
      <c r="C556" s="1" t="s">
        <v>1368</v>
      </c>
      <c r="D556" s="1" t="s">
        <v>1290</v>
      </c>
      <c r="E556" s="1" t="s">
        <v>1553</v>
      </c>
      <c r="F556" s="1" t="s">
        <v>87</v>
      </c>
      <c r="G556" s="1" t="s">
        <v>2289</v>
      </c>
      <c r="H556" s="1" t="s">
        <v>580</v>
      </c>
      <c r="I556" s="1" t="s">
        <v>111</v>
      </c>
      <c r="J556" s="6">
        <v>2500</v>
      </c>
      <c r="K556" s="5">
        <v>45869</v>
      </c>
      <c r="L556" s="7">
        <v>46022</v>
      </c>
    </row>
    <row r="557" spans="1:12" hidden="1" x14ac:dyDescent="0.25">
      <c r="A557" s="4">
        <v>551</v>
      </c>
      <c r="B557" s="2" t="str">
        <f>HYPERLINK("https://my.zakupivli.pro/remote/dispatcher/state_purchase_view/60991515", "UA-2025-07-30-000246-a")</f>
        <v>UA-2025-07-30-000246-a</v>
      </c>
      <c r="C557" s="1" t="s">
        <v>1364</v>
      </c>
      <c r="D557" s="1" t="s">
        <v>899</v>
      </c>
      <c r="E557" s="1" t="s">
        <v>1553</v>
      </c>
      <c r="F557" s="1" t="s">
        <v>87</v>
      </c>
      <c r="G557" s="1" t="s">
        <v>2018</v>
      </c>
      <c r="H557" s="1" t="s">
        <v>611</v>
      </c>
      <c r="I557" s="1" t="s">
        <v>586</v>
      </c>
      <c r="J557" s="6">
        <v>24920</v>
      </c>
      <c r="K557" s="5">
        <v>45866</v>
      </c>
      <c r="L557" s="7">
        <v>46022</v>
      </c>
    </row>
    <row r="558" spans="1:12" hidden="1" x14ac:dyDescent="0.25">
      <c r="A558" s="4">
        <v>552</v>
      </c>
      <c r="B558" s="2" t="str">
        <f>HYPERLINK("https://my.zakupivli.pro/remote/dispatcher/state_purchase_view/60944070", "UA-2025-07-28-001326-a")</f>
        <v>UA-2025-07-28-001326-a</v>
      </c>
      <c r="C558" s="1" t="s">
        <v>1908</v>
      </c>
      <c r="D558" s="1" t="s">
        <v>1324</v>
      </c>
      <c r="E558" s="1" t="s">
        <v>1553</v>
      </c>
      <c r="F558" s="1" t="s">
        <v>87</v>
      </c>
      <c r="G558" s="1" t="s">
        <v>1560</v>
      </c>
      <c r="H558" s="1" t="s">
        <v>108</v>
      </c>
      <c r="I558" s="1" t="s">
        <v>1240</v>
      </c>
      <c r="J558" s="6">
        <v>2186.4</v>
      </c>
      <c r="K558" s="5">
        <v>45866</v>
      </c>
      <c r="L558" s="7">
        <v>46022</v>
      </c>
    </row>
    <row r="559" spans="1:12" hidden="1" x14ac:dyDescent="0.25">
      <c r="A559" s="4">
        <v>553</v>
      </c>
      <c r="B559" s="2" t="str">
        <f>HYPERLINK("https://my.zakupivli.pro/remote/dispatcher/state_purchase_view/60904162", "UA-2025-07-24-005941-a")</f>
        <v>UA-2025-07-24-005941-a</v>
      </c>
      <c r="C559" s="1" t="s">
        <v>1593</v>
      </c>
      <c r="D559" s="1" t="s">
        <v>880</v>
      </c>
      <c r="E559" s="1" t="s">
        <v>1553</v>
      </c>
      <c r="F559" s="1" t="s">
        <v>87</v>
      </c>
      <c r="G559" s="1" t="s">
        <v>2014</v>
      </c>
      <c r="H559" s="1" t="s">
        <v>674</v>
      </c>
      <c r="I559" s="1" t="s">
        <v>610</v>
      </c>
      <c r="J559" s="6">
        <v>580</v>
      </c>
      <c r="K559" s="5">
        <v>45862</v>
      </c>
      <c r="L559" s="7">
        <v>46022</v>
      </c>
    </row>
    <row r="560" spans="1:12" hidden="1" x14ac:dyDescent="0.25">
      <c r="A560" s="4">
        <v>554</v>
      </c>
      <c r="B560" s="2" t="str">
        <f>HYPERLINK("https://my.zakupivli.pro/remote/dispatcher/state_purchase_view/60903527", "UA-2025-07-24-005661-a")</f>
        <v>UA-2025-07-24-005661-a</v>
      </c>
      <c r="C560" s="1" t="s">
        <v>2185</v>
      </c>
      <c r="D560" s="1" t="s">
        <v>1336</v>
      </c>
      <c r="E560" s="1" t="s">
        <v>1553</v>
      </c>
      <c r="F560" s="1" t="s">
        <v>87</v>
      </c>
      <c r="G560" s="1" t="s">
        <v>2102</v>
      </c>
      <c r="H560" s="1" t="s">
        <v>975</v>
      </c>
      <c r="I560" s="1" t="s">
        <v>582</v>
      </c>
      <c r="J560" s="6">
        <v>34000</v>
      </c>
      <c r="K560" s="5">
        <v>45862</v>
      </c>
      <c r="L560" s="7">
        <v>46022</v>
      </c>
    </row>
    <row r="561" spans="1:12" hidden="1" x14ac:dyDescent="0.25">
      <c r="A561" s="4">
        <v>555</v>
      </c>
      <c r="B561" s="2" t="str">
        <f>HYPERLINK("https://my.zakupivli.pro/remote/dispatcher/state_purchase_view/60864390", "UA-2025-07-23-000264-a")</f>
        <v>UA-2025-07-23-000264-a</v>
      </c>
      <c r="C561" s="1" t="s">
        <v>2286</v>
      </c>
      <c r="D561" s="1" t="s">
        <v>889</v>
      </c>
      <c r="E561" s="1" t="s">
        <v>1553</v>
      </c>
      <c r="F561" s="1" t="s">
        <v>87</v>
      </c>
      <c r="G561" s="1" t="s">
        <v>1623</v>
      </c>
      <c r="H561" s="1" t="s">
        <v>579</v>
      </c>
      <c r="I561" s="1" t="s">
        <v>609</v>
      </c>
      <c r="J561" s="6">
        <v>3440</v>
      </c>
      <c r="K561" s="5">
        <v>45860</v>
      </c>
      <c r="L561" s="7">
        <v>46022</v>
      </c>
    </row>
    <row r="562" spans="1:12" hidden="1" x14ac:dyDescent="0.25">
      <c r="A562" s="4">
        <v>556</v>
      </c>
      <c r="B562" s="2" t="str">
        <f>HYPERLINK("https://my.zakupivli.pro/remote/dispatcher/state_purchase_view/60854027", "UA-2025-07-22-007798-a")</f>
        <v>UA-2025-07-22-007798-a</v>
      </c>
      <c r="C562" s="1" t="s">
        <v>2180</v>
      </c>
      <c r="D562" s="1" t="s">
        <v>1025</v>
      </c>
      <c r="E562" s="1" t="s">
        <v>1553</v>
      </c>
      <c r="F562" s="1" t="s">
        <v>87</v>
      </c>
      <c r="G562" s="1" t="s">
        <v>2018</v>
      </c>
      <c r="H562" s="1" t="s">
        <v>611</v>
      </c>
      <c r="I562" s="1" t="s">
        <v>601</v>
      </c>
      <c r="J562" s="6">
        <v>14176</v>
      </c>
      <c r="K562" s="5">
        <v>45860</v>
      </c>
      <c r="L562" s="7">
        <v>46022</v>
      </c>
    </row>
    <row r="563" spans="1:12" hidden="1" x14ac:dyDescent="0.25">
      <c r="A563" s="4">
        <v>557</v>
      </c>
      <c r="B563" s="2" t="str">
        <f>HYPERLINK("https://my.zakupivli.pro/remote/dispatcher/state_purchase_view/60849544", "UA-2025-07-22-005776-a")</f>
        <v>UA-2025-07-22-005776-a</v>
      </c>
      <c r="C563" s="1" t="s">
        <v>1575</v>
      </c>
      <c r="D563" s="1" t="s">
        <v>593</v>
      </c>
      <c r="E563" s="1" t="s">
        <v>1553</v>
      </c>
      <c r="F563" s="1" t="s">
        <v>87</v>
      </c>
      <c r="G563" s="1" t="s">
        <v>1551</v>
      </c>
      <c r="H563" s="1" t="s">
        <v>536</v>
      </c>
      <c r="I563" s="1" t="s">
        <v>602</v>
      </c>
      <c r="J563" s="6">
        <v>398</v>
      </c>
      <c r="K563" s="5">
        <v>45860</v>
      </c>
      <c r="L563" s="7">
        <v>46022</v>
      </c>
    </row>
    <row r="564" spans="1:12" hidden="1" x14ac:dyDescent="0.25">
      <c r="A564" s="4">
        <v>558</v>
      </c>
      <c r="B564" s="2" t="str">
        <f>HYPERLINK("https://my.zakupivli.pro/remote/dispatcher/state_purchase_view/60848991", "UA-2025-07-22-005532-a")</f>
        <v>UA-2025-07-22-005532-a</v>
      </c>
      <c r="C564" s="1" t="s">
        <v>1609</v>
      </c>
      <c r="D564" s="1" t="s">
        <v>1032</v>
      </c>
      <c r="E564" s="1" t="s">
        <v>1553</v>
      </c>
      <c r="F564" s="1" t="s">
        <v>87</v>
      </c>
      <c r="G564" s="1" t="s">
        <v>1623</v>
      </c>
      <c r="H564" s="1" t="s">
        <v>579</v>
      </c>
      <c r="I564" s="1" t="s">
        <v>606</v>
      </c>
      <c r="J564" s="6">
        <v>30000</v>
      </c>
      <c r="K564" s="5">
        <v>45860</v>
      </c>
      <c r="L564" s="7">
        <v>46022</v>
      </c>
    </row>
    <row r="565" spans="1:12" hidden="1" x14ac:dyDescent="0.25">
      <c r="A565" s="4">
        <v>559</v>
      </c>
      <c r="B565" s="2" t="str">
        <f>HYPERLINK("https://my.zakupivli.pro/remote/dispatcher/state_purchase_view/60845051", "UA-2025-07-22-003815-a")</f>
        <v>UA-2025-07-22-003815-a</v>
      </c>
      <c r="C565" s="1" t="s">
        <v>1650</v>
      </c>
      <c r="D565" s="1" t="s">
        <v>1010</v>
      </c>
      <c r="E565" s="1" t="s">
        <v>1553</v>
      </c>
      <c r="F565" s="1" t="s">
        <v>87</v>
      </c>
      <c r="G565" s="1" t="s">
        <v>1623</v>
      </c>
      <c r="H565" s="1" t="s">
        <v>579</v>
      </c>
      <c r="I565" s="1" t="s">
        <v>607</v>
      </c>
      <c r="J565" s="6">
        <v>9999</v>
      </c>
      <c r="K565" s="5">
        <v>45860</v>
      </c>
      <c r="L565" s="7">
        <v>46022</v>
      </c>
    </row>
    <row r="566" spans="1:12" hidden="1" x14ac:dyDescent="0.25">
      <c r="A566" s="4">
        <v>560</v>
      </c>
      <c r="B566" s="2" t="str">
        <f>HYPERLINK("https://my.zakupivli.pro/remote/dispatcher/state_purchase_view/60707314", "UA-2025-07-14-010840-a")</f>
        <v>UA-2025-07-14-010840-a</v>
      </c>
      <c r="C566" s="1" t="s">
        <v>1879</v>
      </c>
      <c r="D566" s="1" t="s">
        <v>1149</v>
      </c>
      <c r="E566" s="1" t="s">
        <v>1553</v>
      </c>
      <c r="F566" s="1" t="s">
        <v>87</v>
      </c>
      <c r="G566" s="1" t="s">
        <v>2154</v>
      </c>
      <c r="H566" s="1" t="s">
        <v>938</v>
      </c>
      <c r="I566" s="1" t="s">
        <v>553</v>
      </c>
      <c r="J566" s="6">
        <v>193932</v>
      </c>
      <c r="K566" s="5">
        <v>45852</v>
      </c>
      <c r="L566" s="7">
        <v>45909</v>
      </c>
    </row>
    <row r="567" spans="1:12" hidden="1" x14ac:dyDescent="0.25">
      <c r="A567" s="4">
        <v>561</v>
      </c>
      <c r="B567" s="2" t="str">
        <f>HYPERLINK("https://my.zakupivli.pro/remote/dispatcher/state_purchase_view/60706668", "UA-2025-07-14-010529-a")</f>
        <v>UA-2025-07-14-010529-a</v>
      </c>
      <c r="C567" s="1" t="s">
        <v>1895</v>
      </c>
      <c r="D567" s="1" t="s">
        <v>1066</v>
      </c>
      <c r="E567" s="1" t="s">
        <v>1553</v>
      </c>
      <c r="F567" s="1" t="s">
        <v>87</v>
      </c>
      <c r="G567" s="1" t="s">
        <v>2015</v>
      </c>
      <c r="H567" s="1" t="s">
        <v>505</v>
      </c>
      <c r="I567" s="1" t="s">
        <v>575</v>
      </c>
      <c r="J567" s="6">
        <v>96471</v>
      </c>
      <c r="K567" s="5">
        <v>45852</v>
      </c>
      <c r="L567" s="7">
        <v>46022</v>
      </c>
    </row>
    <row r="568" spans="1:12" hidden="1" x14ac:dyDescent="0.25">
      <c r="A568" s="4">
        <v>562</v>
      </c>
      <c r="B568" s="2" t="str">
        <f>HYPERLINK("https://my.zakupivli.pro/remote/dispatcher/state_purchase_view/60706349", "UA-2025-07-14-010416-a")</f>
        <v>UA-2025-07-14-010416-a</v>
      </c>
      <c r="C568" s="1" t="s">
        <v>1833</v>
      </c>
      <c r="D568" s="1" t="s">
        <v>1054</v>
      </c>
      <c r="E568" s="1" t="s">
        <v>1553</v>
      </c>
      <c r="F568" s="1" t="s">
        <v>87</v>
      </c>
      <c r="G568" s="1" t="s">
        <v>2015</v>
      </c>
      <c r="H568" s="1" t="s">
        <v>505</v>
      </c>
      <c r="I568" s="1" t="s">
        <v>574</v>
      </c>
      <c r="J568" s="6">
        <v>68099</v>
      </c>
      <c r="K568" s="5">
        <v>45852</v>
      </c>
      <c r="L568" s="7">
        <v>46022</v>
      </c>
    </row>
    <row r="569" spans="1:12" hidden="1" x14ac:dyDescent="0.25">
      <c r="A569" s="4">
        <v>563</v>
      </c>
      <c r="B569" s="2" t="str">
        <f>HYPERLINK("https://my.zakupivli.pro/remote/dispatcher/state_purchase_view/60705971", "UA-2025-07-14-010248-a")</f>
        <v>UA-2025-07-14-010248-a</v>
      </c>
      <c r="C569" s="1" t="s">
        <v>1834</v>
      </c>
      <c r="D569" s="1" t="s">
        <v>1054</v>
      </c>
      <c r="E569" s="1" t="s">
        <v>1553</v>
      </c>
      <c r="F569" s="1" t="s">
        <v>87</v>
      </c>
      <c r="G569" s="1" t="s">
        <v>2015</v>
      </c>
      <c r="H569" s="1" t="s">
        <v>505</v>
      </c>
      <c r="I569" s="1" t="s">
        <v>572</v>
      </c>
      <c r="J569" s="6">
        <v>31669</v>
      </c>
      <c r="K569" s="5">
        <v>45852</v>
      </c>
      <c r="L569" s="7">
        <v>46022</v>
      </c>
    </row>
    <row r="570" spans="1:12" hidden="1" x14ac:dyDescent="0.25">
      <c r="A570" s="4">
        <v>564</v>
      </c>
      <c r="B570" s="2" t="str">
        <f>HYPERLINK("https://my.zakupivli.pro/remote/dispatcher/state_purchase_view/60702609", "UA-2025-07-14-008680-a")</f>
        <v>UA-2025-07-14-008680-a</v>
      </c>
      <c r="C570" s="1" t="s">
        <v>1682</v>
      </c>
      <c r="D570" s="1" t="s">
        <v>911</v>
      </c>
      <c r="E570" s="1" t="s">
        <v>1553</v>
      </c>
      <c r="F570" s="1" t="s">
        <v>87</v>
      </c>
      <c r="G570" s="1" t="s">
        <v>2018</v>
      </c>
      <c r="H570" s="1" t="s">
        <v>611</v>
      </c>
      <c r="I570" s="1" t="s">
        <v>546</v>
      </c>
      <c r="J570" s="6">
        <v>3874</v>
      </c>
      <c r="K570" s="5">
        <v>45849</v>
      </c>
      <c r="L570" s="7">
        <v>46022</v>
      </c>
    </row>
    <row r="571" spans="1:12" hidden="1" x14ac:dyDescent="0.25">
      <c r="A571" s="4">
        <v>565</v>
      </c>
      <c r="B571" s="2" t="str">
        <f>HYPERLINK("https://my.zakupivli.pro/remote/dispatcher/state_purchase_view/60702147", "UA-2025-07-14-008515-a")</f>
        <v>UA-2025-07-14-008515-a</v>
      </c>
      <c r="C571" s="1" t="s">
        <v>2057</v>
      </c>
      <c r="D571" s="1" t="s">
        <v>917</v>
      </c>
      <c r="E571" s="1" t="s">
        <v>1553</v>
      </c>
      <c r="F571" s="1" t="s">
        <v>87</v>
      </c>
      <c r="G571" s="1" t="s">
        <v>1759</v>
      </c>
      <c r="H571" s="1" t="s">
        <v>295</v>
      </c>
      <c r="I571" s="1" t="s">
        <v>548</v>
      </c>
      <c r="J571" s="6">
        <v>540</v>
      </c>
      <c r="K571" s="5">
        <v>45848</v>
      </c>
      <c r="L571" s="7">
        <v>46022</v>
      </c>
    </row>
    <row r="572" spans="1:12" hidden="1" x14ac:dyDescent="0.25">
      <c r="A572" s="4">
        <v>566</v>
      </c>
      <c r="B572" s="2" t="str">
        <f>HYPERLINK("https://my.zakupivli.pro/remote/dispatcher/state_purchase_view/60700701", "UA-2025-07-14-007794-a")</f>
        <v>UA-2025-07-14-007794-a</v>
      </c>
      <c r="C572" s="1" t="s">
        <v>1960</v>
      </c>
      <c r="D572" s="1" t="s">
        <v>1077</v>
      </c>
      <c r="E572" s="1" t="s">
        <v>1553</v>
      </c>
      <c r="F572" s="1" t="s">
        <v>87</v>
      </c>
      <c r="G572" s="1" t="s">
        <v>1763</v>
      </c>
      <c r="H572" s="1" t="s">
        <v>107</v>
      </c>
      <c r="I572" s="1" t="s">
        <v>1991</v>
      </c>
      <c r="J572" s="6">
        <v>12283.6</v>
      </c>
      <c r="K572" s="5">
        <v>45849</v>
      </c>
      <c r="L572" s="7">
        <v>46022</v>
      </c>
    </row>
    <row r="573" spans="1:12" hidden="1" x14ac:dyDescent="0.25">
      <c r="A573" s="4">
        <v>567</v>
      </c>
      <c r="B573" s="2" t="str">
        <f>HYPERLINK("https://my.zakupivli.pro/remote/dispatcher/state_purchase_view/60700036", "UA-2025-07-14-007500-a")</f>
        <v>UA-2025-07-14-007500-a</v>
      </c>
      <c r="C573" s="1" t="s">
        <v>2037</v>
      </c>
      <c r="D573" s="1" t="s">
        <v>313</v>
      </c>
      <c r="E573" s="1" t="s">
        <v>1553</v>
      </c>
      <c r="F573" s="1" t="s">
        <v>87</v>
      </c>
      <c r="G573" s="1" t="s">
        <v>2111</v>
      </c>
      <c r="H573" s="1" t="s">
        <v>460</v>
      </c>
      <c r="I573" s="1" t="s">
        <v>175</v>
      </c>
      <c r="J573" s="6">
        <v>2700</v>
      </c>
      <c r="K573" s="5">
        <v>45849</v>
      </c>
      <c r="L573" s="7">
        <v>46022</v>
      </c>
    </row>
    <row r="574" spans="1:12" hidden="1" x14ac:dyDescent="0.25">
      <c r="A574" s="4">
        <v>568</v>
      </c>
      <c r="B574" s="2" t="str">
        <f>HYPERLINK("https://my.zakupivli.pro/remote/dispatcher/state_purchase_view/60697849", "UA-2025-07-14-006576-a")</f>
        <v>UA-2025-07-14-006576-a</v>
      </c>
      <c r="C574" s="1" t="s">
        <v>1399</v>
      </c>
      <c r="D574" s="1" t="s">
        <v>883</v>
      </c>
      <c r="E574" s="1" t="s">
        <v>1553</v>
      </c>
      <c r="F574" s="1" t="s">
        <v>87</v>
      </c>
      <c r="G574" s="1" t="s">
        <v>1623</v>
      </c>
      <c r="H574" s="1" t="s">
        <v>579</v>
      </c>
      <c r="I574" s="1" t="s">
        <v>555</v>
      </c>
      <c r="J574" s="6">
        <v>18150</v>
      </c>
      <c r="K574" s="5">
        <v>45849</v>
      </c>
      <c r="L574" s="7">
        <v>46022</v>
      </c>
    </row>
    <row r="575" spans="1:12" hidden="1" x14ac:dyDescent="0.25">
      <c r="A575" s="4">
        <v>569</v>
      </c>
      <c r="B575" s="2" t="str">
        <f>HYPERLINK("https://my.zakupivli.pro/remote/dispatcher/state_purchase_view/60697445", "UA-2025-07-14-006443-a")</f>
        <v>UA-2025-07-14-006443-a</v>
      </c>
      <c r="C575" s="1" t="s">
        <v>2286</v>
      </c>
      <c r="D575" s="1" t="s">
        <v>889</v>
      </c>
      <c r="E575" s="1" t="s">
        <v>1553</v>
      </c>
      <c r="F575" s="1" t="s">
        <v>87</v>
      </c>
      <c r="G575" s="1" t="s">
        <v>1623</v>
      </c>
      <c r="H575" s="1" t="s">
        <v>579</v>
      </c>
      <c r="I575" s="1" t="s">
        <v>552</v>
      </c>
      <c r="J575" s="6">
        <v>2101</v>
      </c>
      <c r="K575" s="5">
        <v>45849</v>
      </c>
      <c r="L575" s="7">
        <v>46022</v>
      </c>
    </row>
    <row r="576" spans="1:12" hidden="1" x14ac:dyDescent="0.25">
      <c r="A576" s="4">
        <v>570</v>
      </c>
      <c r="B576" s="2" t="str">
        <f>HYPERLINK("https://my.zakupivli.pro/remote/dispatcher/state_purchase_view/60650553", "UA-2025-07-10-009788-a")</f>
        <v>UA-2025-07-10-009788-a</v>
      </c>
      <c r="C576" s="1" t="s">
        <v>44</v>
      </c>
      <c r="D576" s="1" t="s">
        <v>776</v>
      </c>
      <c r="E576" s="1" t="s">
        <v>1553</v>
      </c>
      <c r="F576" s="1" t="s">
        <v>87</v>
      </c>
      <c r="G576" s="1" t="s">
        <v>1743</v>
      </c>
      <c r="H576" s="1" t="s">
        <v>538</v>
      </c>
      <c r="I576" s="1" t="s">
        <v>549</v>
      </c>
      <c r="J576" s="6">
        <v>99900</v>
      </c>
      <c r="K576" s="5">
        <v>45847</v>
      </c>
      <c r="L576" s="7">
        <v>46022</v>
      </c>
    </row>
    <row r="577" spans="1:12" hidden="1" x14ac:dyDescent="0.25">
      <c r="A577" s="4">
        <v>571</v>
      </c>
      <c r="B577" s="2" t="str">
        <f>HYPERLINK("https://my.zakupivli.pro/remote/dispatcher/state_purchase_view/60607500", "UA-2025-07-09-002817-a")</f>
        <v>UA-2025-07-09-002817-a</v>
      </c>
      <c r="C577" s="1" t="s">
        <v>1599</v>
      </c>
      <c r="D577" s="1" t="s">
        <v>1014</v>
      </c>
      <c r="E577" s="1" t="s">
        <v>1553</v>
      </c>
      <c r="F577" s="1" t="s">
        <v>87</v>
      </c>
      <c r="G577" s="1" t="s">
        <v>1741</v>
      </c>
      <c r="H577" s="1" t="s">
        <v>361</v>
      </c>
      <c r="I577" s="1" t="s">
        <v>542</v>
      </c>
      <c r="J577" s="6">
        <v>99774</v>
      </c>
      <c r="K577" s="5">
        <v>45846</v>
      </c>
      <c r="L577" s="7">
        <v>45901</v>
      </c>
    </row>
    <row r="578" spans="1:12" hidden="1" x14ac:dyDescent="0.25">
      <c r="A578" s="4">
        <v>572</v>
      </c>
      <c r="B578" s="2" t="str">
        <f>HYPERLINK("https://my.zakupivli.pro/remote/dispatcher/state_purchase_view/60606934", "UA-2025-07-09-002577-a")</f>
        <v>UA-2025-07-09-002577-a</v>
      </c>
      <c r="C578" s="1" t="s">
        <v>1987</v>
      </c>
      <c r="D578" s="1" t="s">
        <v>1008</v>
      </c>
      <c r="E578" s="1" t="s">
        <v>1553</v>
      </c>
      <c r="F578" s="1" t="s">
        <v>87</v>
      </c>
      <c r="G578" s="1" t="s">
        <v>1741</v>
      </c>
      <c r="H578" s="1" t="s">
        <v>361</v>
      </c>
      <c r="I578" s="1" t="s">
        <v>541</v>
      </c>
      <c r="J578" s="6">
        <v>15500</v>
      </c>
      <c r="K578" s="5">
        <v>45846</v>
      </c>
      <c r="L578" s="7">
        <v>45901</v>
      </c>
    </row>
    <row r="579" spans="1:12" hidden="1" x14ac:dyDescent="0.25">
      <c r="A579" s="4">
        <v>573</v>
      </c>
      <c r="B579" s="2" t="str">
        <f>HYPERLINK("https://my.zakupivli.pro/remote/dispatcher/state_purchase_view/60604250", "UA-2025-07-09-001345-a")</f>
        <v>UA-2025-07-09-001345-a</v>
      </c>
      <c r="C579" s="1" t="s">
        <v>1869</v>
      </c>
      <c r="D579" s="1" t="s">
        <v>1160</v>
      </c>
      <c r="E579" s="1" t="s">
        <v>1553</v>
      </c>
      <c r="F579" s="1" t="s">
        <v>87</v>
      </c>
      <c r="G579" s="1" t="s">
        <v>2015</v>
      </c>
      <c r="H579" s="1" t="s">
        <v>505</v>
      </c>
      <c r="I579" s="1" t="s">
        <v>532</v>
      </c>
      <c r="J579" s="6">
        <v>36000</v>
      </c>
      <c r="K579" s="5">
        <v>45847</v>
      </c>
      <c r="L579" s="7">
        <v>45874</v>
      </c>
    </row>
    <row r="580" spans="1:12" hidden="1" x14ac:dyDescent="0.25">
      <c r="A580" s="4">
        <v>574</v>
      </c>
      <c r="B580" s="2" t="str">
        <f>HYPERLINK("https://my.zakupivli.pro/remote/dispatcher/state_purchase_view/60600348", "UA-2025-07-08-011893-a")</f>
        <v>UA-2025-07-08-011893-a</v>
      </c>
      <c r="C580" s="1" t="s">
        <v>1630</v>
      </c>
      <c r="D580" s="1" t="s">
        <v>858</v>
      </c>
      <c r="E580" s="1" t="s">
        <v>1553</v>
      </c>
      <c r="F580" s="1" t="s">
        <v>87</v>
      </c>
      <c r="G580" s="1" t="s">
        <v>2202</v>
      </c>
      <c r="H580" s="1" t="s">
        <v>798</v>
      </c>
      <c r="I580" s="1" t="s">
        <v>617</v>
      </c>
      <c r="J580" s="6">
        <v>5181051.5999999996</v>
      </c>
      <c r="K580" s="5">
        <v>45867</v>
      </c>
      <c r="L580" s="7">
        <v>45902</v>
      </c>
    </row>
    <row r="581" spans="1:12" hidden="1" x14ac:dyDescent="0.25">
      <c r="A581" s="4">
        <v>575</v>
      </c>
      <c r="B581" s="2" t="str">
        <f>HYPERLINK("https://my.zakupivli.pro/remote/dispatcher/state_purchase_view/60600117", "UA-2025-07-08-011774-a")</f>
        <v>UA-2025-07-08-011774-a</v>
      </c>
      <c r="C581" s="1" t="s">
        <v>1383</v>
      </c>
      <c r="D581" s="1" t="s">
        <v>859</v>
      </c>
      <c r="E581" s="1" t="s">
        <v>1553</v>
      </c>
      <c r="F581" s="1" t="s">
        <v>87</v>
      </c>
      <c r="G581" s="1" t="s">
        <v>2146</v>
      </c>
      <c r="H581" s="1" t="s">
        <v>957</v>
      </c>
      <c r="I581" s="1" t="s">
        <v>619</v>
      </c>
      <c r="J581" s="6">
        <v>4999999.79</v>
      </c>
      <c r="K581" s="5">
        <v>45866</v>
      </c>
      <c r="L581" s="7">
        <v>45902</v>
      </c>
    </row>
    <row r="582" spans="1:12" hidden="1" x14ac:dyDescent="0.25">
      <c r="A582" s="4">
        <v>576</v>
      </c>
      <c r="B582" s="2" t="str">
        <f>HYPERLINK("https://my.zakupivli.pro/remote/dispatcher/state_purchase_view/60596661", "UA-2025-07-08-010180-a")</f>
        <v>UA-2025-07-08-010180-a</v>
      </c>
      <c r="C582" s="1" t="s">
        <v>166</v>
      </c>
      <c r="D582" s="1" t="s">
        <v>736</v>
      </c>
      <c r="E582" s="1" t="s">
        <v>1553</v>
      </c>
      <c r="F582" s="1" t="s">
        <v>87</v>
      </c>
      <c r="G582" s="1" t="s">
        <v>2163</v>
      </c>
      <c r="H582" s="1" t="s">
        <v>973</v>
      </c>
      <c r="I582" s="1" t="s">
        <v>612</v>
      </c>
      <c r="J582" s="6">
        <v>2121206.52</v>
      </c>
      <c r="K582" s="5">
        <v>45868</v>
      </c>
      <c r="L582" s="7">
        <v>46112</v>
      </c>
    </row>
    <row r="583" spans="1:12" hidden="1" x14ac:dyDescent="0.25">
      <c r="A583" s="4">
        <v>577</v>
      </c>
      <c r="B583" s="2" t="str">
        <f>HYPERLINK("https://my.zakupivli.pro/remote/dispatcher/state_purchase_view/60565557", "UA-2025-07-07-007894-a")</f>
        <v>UA-2025-07-07-007894-a</v>
      </c>
      <c r="C583" s="1" t="s">
        <v>1585</v>
      </c>
      <c r="D583" s="1" t="s">
        <v>705</v>
      </c>
      <c r="E583" s="1" t="s">
        <v>1553</v>
      </c>
      <c r="F583" s="1" t="s">
        <v>87</v>
      </c>
      <c r="G583" s="1" t="s">
        <v>2111</v>
      </c>
      <c r="H583" s="1" t="s">
        <v>460</v>
      </c>
      <c r="I583" s="1" t="s">
        <v>92</v>
      </c>
      <c r="J583" s="6">
        <v>1603</v>
      </c>
      <c r="K583" s="5">
        <v>45845</v>
      </c>
      <c r="L583" s="7">
        <v>46022</v>
      </c>
    </row>
    <row r="584" spans="1:12" hidden="1" x14ac:dyDescent="0.25">
      <c r="A584" s="4">
        <v>578</v>
      </c>
      <c r="B584" s="2" t="str">
        <f>HYPERLINK("https://my.zakupivli.pro/remote/dispatcher/state_purchase_view/60564362", "UA-2025-07-07-007335-a")</f>
        <v>UA-2025-07-07-007335-a</v>
      </c>
      <c r="C584" s="1" t="s">
        <v>1947</v>
      </c>
      <c r="D584" s="1" t="s">
        <v>1300</v>
      </c>
      <c r="E584" s="1" t="s">
        <v>1553</v>
      </c>
      <c r="F584" s="1" t="s">
        <v>87</v>
      </c>
      <c r="G584" s="1" t="s">
        <v>2137</v>
      </c>
      <c r="H584" s="1" t="s">
        <v>836</v>
      </c>
      <c r="I584" s="1" t="s">
        <v>1089</v>
      </c>
      <c r="J584" s="6">
        <v>1152</v>
      </c>
      <c r="K584" s="5">
        <v>45845</v>
      </c>
      <c r="L584" s="7">
        <v>46022</v>
      </c>
    </row>
    <row r="585" spans="1:12" hidden="1" x14ac:dyDescent="0.25">
      <c r="A585" s="4">
        <v>579</v>
      </c>
      <c r="B585" s="2" t="str">
        <f>HYPERLINK("https://my.zakupivli.pro/remote/dispatcher/state_purchase_view/60563754", "UA-2025-07-07-007056-a")</f>
        <v>UA-2025-07-07-007056-a</v>
      </c>
      <c r="C585" s="1" t="s">
        <v>1675</v>
      </c>
      <c r="D585" s="1" t="s">
        <v>1060</v>
      </c>
      <c r="E585" s="1" t="s">
        <v>1553</v>
      </c>
      <c r="F585" s="1" t="s">
        <v>87</v>
      </c>
      <c r="G585" s="1" t="s">
        <v>1772</v>
      </c>
      <c r="H585" s="1" t="s">
        <v>796</v>
      </c>
      <c r="I585" s="1" t="s">
        <v>540</v>
      </c>
      <c r="J585" s="6">
        <v>98362.27</v>
      </c>
      <c r="K585" s="5">
        <v>45845</v>
      </c>
      <c r="L585" s="7">
        <v>46022</v>
      </c>
    </row>
    <row r="586" spans="1:12" hidden="1" x14ac:dyDescent="0.25">
      <c r="A586" s="4">
        <v>580</v>
      </c>
      <c r="B586" s="2" t="str">
        <f>HYPERLINK("https://my.zakupivli.pro/remote/dispatcher/state_purchase_view/60561423", "UA-2025-07-07-006100-a")</f>
        <v>UA-2025-07-07-006100-a</v>
      </c>
      <c r="C586" s="1" t="s">
        <v>1541</v>
      </c>
      <c r="D586" s="1" t="s">
        <v>737</v>
      </c>
      <c r="E586" s="1" t="s">
        <v>1553</v>
      </c>
      <c r="F586" s="1" t="s">
        <v>87</v>
      </c>
      <c r="G586" s="1" t="s">
        <v>2130</v>
      </c>
      <c r="H586" s="1" t="s">
        <v>936</v>
      </c>
      <c r="I586" s="1" t="s">
        <v>1750</v>
      </c>
      <c r="J586" s="6">
        <v>5910.07</v>
      </c>
      <c r="K586" s="5">
        <v>45845</v>
      </c>
      <c r="L586" s="7">
        <v>46022</v>
      </c>
    </row>
    <row r="587" spans="1:12" hidden="1" x14ac:dyDescent="0.25">
      <c r="A587" s="4">
        <v>581</v>
      </c>
      <c r="B587" s="2" t="str">
        <f>HYPERLINK("https://my.zakupivli.pro/remote/dispatcher/state_purchase_view/60561145", "UA-2025-07-07-005956-a")</f>
        <v>UA-2025-07-07-005956-a</v>
      </c>
      <c r="C587" s="1" t="s">
        <v>1540</v>
      </c>
      <c r="D587" s="1" t="s">
        <v>737</v>
      </c>
      <c r="E587" s="1" t="s">
        <v>1553</v>
      </c>
      <c r="F587" s="1" t="s">
        <v>87</v>
      </c>
      <c r="G587" s="1" t="s">
        <v>2130</v>
      </c>
      <c r="H587" s="1" t="s">
        <v>936</v>
      </c>
      <c r="I587" s="1" t="s">
        <v>1749</v>
      </c>
      <c r="J587" s="6">
        <v>342.92</v>
      </c>
      <c r="K587" s="5">
        <v>45845</v>
      </c>
      <c r="L587" s="7">
        <v>46022</v>
      </c>
    </row>
    <row r="588" spans="1:12" hidden="1" x14ac:dyDescent="0.25">
      <c r="A588" s="4">
        <v>582</v>
      </c>
      <c r="B588" s="2" t="str">
        <f>HYPERLINK("https://my.zakupivli.pro/remote/dispatcher/state_purchase_view/60560386", "UA-2025-07-07-005630-a")</f>
        <v>UA-2025-07-07-005630-a</v>
      </c>
      <c r="C588" s="1" t="s">
        <v>1542</v>
      </c>
      <c r="D588" s="1" t="s">
        <v>926</v>
      </c>
      <c r="E588" s="1" t="s">
        <v>1553</v>
      </c>
      <c r="F588" s="1" t="s">
        <v>87</v>
      </c>
      <c r="G588" s="1" t="s">
        <v>2130</v>
      </c>
      <c r="H588" s="1" t="s">
        <v>936</v>
      </c>
      <c r="I588" s="1" t="s">
        <v>1748</v>
      </c>
      <c r="J588" s="6">
        <v>4738.5200000000004</v>
      </c>
      <c r="K588" s="5">
        <v>45845</v>
      </c>
      <c r="L588" s="7">
        <v>46022</v>
      </c>
    </row>
    <row r="589" spans="1:12" hidden="1" x14ac:dyDescent="0.25">
      <c r="A589" s="4">
        <v>583</v>
      </c>
      <c r="B589" s="2" t="str">
        <f>HYPERLINK("https://my.zakupivli.pro/remote/dispatcher/state_purchase_view/60544245", "UA-2025-07-04-010332-a")</f>
        <v>UA-2025-07-04-010332-a</v>
      </c>
      <c r="C589" s="1" t="s">
        <v>1778</v>
      </c>
      <c r="D589" s="1" t="s">
        <v>350</v>
      </c>
      <c r="E589" s="1" t="s">
        <v>1553</v>
      </c>
      <c r="F589" s="1" t="s">
        <v>87</v>
      </c>
      <c r="G589" s="1" t="s">
        <v>2130</v>
      </c>
      <c r="H589" s="1" t="s">
        <v>936</v>
      </c>
      <c r="I589" s="1" t="s">
        <v>1747</v>
      </c>
      <c r="J589" s="6">
        <v>8413.7999999999993</v>
      </c>
      <c r="K589" s="5">
        <v>45842</v>
      </c>
      <c r="L589" s="7">
        <v>46022</v>
      </c>
    </row>
    <row r="590" spans="1:12" hidden="1" x14ac:dyDescent="0.25">
      <c r="A590" s="4">
        <v>584</v>
      </c>
      <c r="B590" s="2" t="str">
        <f>HYPERLINK("https://my.zakupivli.pro/remote/dispatcher/state_purchase_view/60541542", "UA-2025-07-04-009099-a")</f>
        <v>UA-2025-07-04-009099-a</v>
      </c>
      <c r="C590" s="1" t="s">
        <v>2054</v>
      </c>
      <c r="D590" s="1" t="s">
        <v>1224</v>
      </c>
      <c r="E590" s="1" t="s">
        <v>1553</v>
      </c>
      <c r="F590" s="1" t="s">
        <v>87</v>
      </c>
      <c r="G590" s="1" t="s">
        <v>1372</v>
      </c>
      <c r="H590" s="1" t="s">
        <v>385</v>
      </c>
      <c r="I590" s="1" t="s">
        <v>80</v>
      </c>
      <c r="J590" s="6">
        <v>13091</v>
      </c>
      <c r="K590" s="5">
        <v>45842</v>
      </c>
      <c r="L590" s="7">
        <v>46022</v>
      </c>
    </row>
    <row r="591" spans="1:12" hidden="1" x14ac:dyDescent="0.25">
      <c r="A591" s="4">
        <v>585</v>
      </c>
      <c r="B591" s="2" t="str">
        <f>HYPERLINK("https://my.zakupivli.pro/remote/dispatcher/state_purchase_view/60460185", "UA-2025-07-01-012610-a")</f>
        <v>UA-2025-07-01-012610-a</v>
      </c>
      <c r="C591" s="1" t="s">
        <v>1526</v>
      </c>
      <c r="D591" s="1" t="s">
        <v>631</v>
      </c>
      <c r="E591" s="1" t="s">
        <v>1553</v>
      </c>
      <c r="F591" s="1" t="s">
        <v>87</v>
      </c>
      <c r="G591" s="1" t="s">
        <v>1623</v>
      </c>
      <c r="H591" s="1" t="s">
        <v>579</v>
      </c>
      <c r="I591" s="1" t="s">
        <v>514</v>
      </c>
      <c r="J591" s="6">
        <v>50000</v>
      </c>
      <c r="K591" s="5">
        <v>45835</v>
      </c>
      <c r="L591" s="7">
        <v>46022</v>
      </c>
    </row>
    <row r="592" spans="1:12" hidden="1" x14ac:dyDescent="0.25">
      <c r="A592" s="4">
        <v>586</v>
      </c>
      <c r="B592" s="2" t="str">
        <f>HYPERLINK("https://my.zakupivli.pro/remote/dispatcher/state_purchase_view/60460160", "UA-2025-07-01-012599-a")</f>
        <v>UA-2025-07-01-012599-a</v>
      </c>
      <c r="C592" s="1" t="s">
        <v>1489</v>
      </c>
      <c r="D592" s="1" t="s">
        <v>1257</v>
      </c>
      <c r="E592" s="1" t="s">
        <v>1553</v>
      </c>
      <c r="F592" s="1" t="s">
        <v>87</v>
      </c>
      <c r="G592" s="1" t="s">
        <v>2020</v>
      </c>
      <c r="H592" s="1" t="s">
        <v>869</v>
      </c>
      <c r="I592" s="1" t="s">
        <v>82</v>
      </c>
      <c r="J592" s="6">
        <v>30000</v>
      </c>
      <c r="K592" s="5">
        <v>45838</v>
      </c>
      <c r="L592" s="7">
        <v>46022</v>
      </c>
    </row>
    <row r="593" spans="1:12" hidden="1" x14ac:dyDescent="0.25">
      <c r="A593" s="4">
        <v>587</v>
      </c>
      <c r="B593" s="2" t="str">
        <f>HYPERLINK("https://my.zakupivli.pro/remote/dispatcher/state_purchase_view/60460141", "UA-2025-07-01-012588-a")</f>
        <v>UA-2025-07-01-012588-a</v>
      </c>
      <c r="C593" s="1" t="s">
        <v>1723</v>
      </c>
      <c r="D593" s="1" t="s">
        <v>1257</v>
      </c>
      <c r="E593" s="1" t="s">
        <v>1553</v>
      </c>
      <c r="F593" s="1" t="s">
        <v>87</v>
      </c>
      <c r="G593" s="1" t="s">
        <v>1717</v>
      </c>
      <c r="H593" s="1" t="s">
        <v>755</v>
      </c>
      <c r="I593" s="1" t="s">
        <v>64</v>
      </c>
      <c r="J593" s="6">
        <v>24800</v>
      </c>
      <c r="K593" s="5">
        <v>45838</v>
      </c>
      <c r="L593" s="7">
        <v>46022</v>
      </c>
    </row>
    <row r="594" spans="1:12" hidden="1" x14ac:dyDescent="0.25">
      <c r="A594" s="4">
        <v>588</v>
      </c>
      <c r="B594" s="2" t="str">
        <f>HYPERLINK("https://my.zakupivli.pro/remote/dispatcher/state_purchase_view/60460099", "UA-2025-07-01-012564-a")</f>
        <v>UA-2025-07-01-012564-a</v>
      </c>
      <c r="C594" s="1" t="s">
        <v>1460</v>
      </c>
      <c r="D594" s="1" t="s">
        <v>635</v>
      </c>
      <c r="E594" s="1" t="s">
        <v>1553</v>
      </c>
      <c r="F594" s="1" t="s">
        <v>87</v>
      </c>
      <c r="G594" s="1" t="s">
        <v>1623</v>
      </c>
      <c r="H594" s="1" t="s">
        <v>579</v>
      </c>
      <c r="I594" s="1" t="s">
        <v>520</v>
      </c>
      <c r="J594" s="6">
        <v>6000</v>
      </c>
      <c r="K594" s="5">
        <v>45838</v>
      </c>
      <c r="L594" s="7">
        <v>46022</v>
      </c>
    </row>
    <row r="595" spans="1:12" hidden="1" x14ac:dyDescent="0.25">
      <c r="A595" s="4">
        <v>589</v>
      </c>
      <c r="B595" s="2" t="str">
        <f>HYPERLINK("https://my.zakupivli.pro/remote/dispatcher/state_purchase_view/60460080", "UA-2025-07-01-012543-a")</f>
        <v>UA-2025-07-01-012543-a</v>
      </c>
      <c r="C595" s="1" t="s">
        <v>1878</v>
      </c>
      <c r="D595" s="1" t="s">
        <v>1147</v>
      </c>
      <c r="E595" s="1" t="s">
        <v>1553</v>
      </c>
      <c r="F595" s="1" t="s">
        <v>87</v>
      </c>
      <c r="G595" s="1" t="s">
        <v>2140</v>
      </c>
      <c r="H595" s="1" t="s">
        <v>825</v>
      </c>
      <c r="I595" s="1" t="s">
        <v>476</v>
      </c>
      <c r="J595" s="6">
        <v>6300</v>
      </c>
      <c r="K595" s="5">
        <v>45835</v>
      </c>
      <c r="L595" s="7">
        <v>46022</v>
      </c>
    </row>
    <row r="596" spans="1:12" hidden="1" x14ac:dyDescent="0.25">
      <c r="A596" s="4">
        <v>590</v>
      </c>
      <c r="B596" s="2" t="str">
        <f>HYPERLINK("https://my.zakupivli.pro/remote/dispatcher/state_purchase_view/60460029", "UA-2025-07-01-012523-a")</f>
        <v>UA-2025-07-01-012523-a</v>
      </c>
      <c r="C596" s="1" t="s">
        <v>1923</v>
      </c>
      <c r="D596" s="1" t="s">
        <v>1274</v>
      </c>
      <c r="E596" s="1" t="s">
        <v>1553</v>
      </c>
      <c r="F596" s="1" t="s">
        <v>87</v>
      </c>
      <c r="G596" s="1" t="s">
        <v>1690</v>
      </c>
      <c r="H596" s="1" t="s">
        <v>102</v>
      </c>
      <c r="I596" s="1" t="s">
        <v>157</v>
      </c>
      <c r="J596" s="6">
        <v>10177.92</v>
      </c>
      <c r="K596" s="5">
        <v>45834</v>
      </c>
      <c r="L596" s="7">
        <v>46022</v>
      </c>
    </row>
    <row r="597" spans="1:12" hidden="1" x14ac:dyDescent="0.25">
      <c r="A597" s="4">
        <v>591</v>
      </c>
      <c r="B597" s="2" t="str">
        <f>HYPERLINK("https://my.zakupivli.pro/remote/dispatcher/state_purchase_view/60430053", "UA-2025-06-30-009551-a")</f>
        <v>UA-2025-06-30-009551-a</v>
      </c>
      <c r="C597" s="1" t="s">
        <v>1698</v>
      </c>
      <c r="D597" s="1" t="s">
        <v>1301</v>
      </c>
      <c r="E597" s="1" t="s">
        <v>1553</v>
      </c>
      <c r="F597" s="1" t="s">
        <v>87</v>
      </c>
      <c r="G597" s="1" t="s">
        <v>1551</v>
      </c>
      <c r="H597" s="1" t="s">
        <v>536</v>
      </c>
      <c r="I597" s="1" t="s">
        <v>500</v>
      </c>
      <c r="J597" s="6">
        <v>39199</v>
      </c>
      <c r="K597" s="5">
        <v>45834</v>
      </c>
      <c r="L597" s="7">
        <v>46022</v>
      </c>
    </row>
    <row r="598" spans="1:12" hidden="1" x14ac:dyDescent="0.25">
      <c r="A598" s="4">
        <v>592</v>
      </c>
      <c r="B598" s="2" t="str">
        <f>HYPERLINK("https://my.zakupivli.pro/remote/dispatcher/state_purchase_view/60428764", "UA-2025-06-30-009110-a")</f>
        <v>UA-2025-06-30-009110-a</v>
      </c>
      <c r="C598" s="1" t="s">
        <v>2256</v>
      </c>
      <c r="D598" s="1" t="s">
        <v>897</v>
      </c>
      <c r="E598" s="1" t="s">
        <v>1553</v>
      </c>
      <c r="F598" s="1" t="s">
        <v>87</v>
      </c>
      <c r="G598" s="1" t="s">
        <v>1623</v>
      </c>
      <c r="H598" s="1" t="s">
        <v>579</v>
      </c>
      <c r="I598" s="1" t="s">
        <v>489</v>
      </c>
      <c r="J598" s="6">
        <v>20000</v>
      </c>
      <c r="K598" s="5">
        <v>45834</v>
      </c>
      <c r="L598" s="7">
        <v>46022</v>
      </c>
    </row>
    <row r="599" spans="1:12" hidden="1" x14ac:dyDescent="0.25">
      <c r="A599" s="4">
        <v>593</v>
      </c>
      <c r="B599" s="2" t="str">
        <f>HYPERLINK("https://my.zakupivli.pro/remote/dispatcher/state_purchase_view/60428562", "UA-2025-06-30-008978-a")</f>
        <v>UA-2025-06-30-008978-a</v>
      </c>
      <c r="C599" s="1" t="s">
        <v>1802</v>
      </c>
      <c r="D599" s="1" t="s">
        <v>348</v>
      </c>
      <c r="E599" s="1" t="s">
        <v>1553</v>
      </c>
      <c r="F599" s="1" t="s">
        <v>87</v>
      </c>
      <c r="G599" s="1" t="s">
        <v>1551</v>
      </c>
      <c r="H599" s="1" t="s">
        <v>536</v>
      </c>
      <c r="I599" s="1" t="s">
        <v>507</v>
      </c>
      <c r="J599" s="6">
        <v>533</v>
      </c>
      <c r="K599" s="5">
        <v>45834</v>
      </c>
      <c r="L599" s="7">
        <v>46022</v>
      </c>
    </row>
    <row r="600" spans="1:12" hidden="1" x14ac:dyDescent="0.25">
      <c r="A600" s="4">
        <v>594</v>
      </c>
      <c r="B600" s="2" t="str">
        <f>HYPERLINK("https://my.zakupivli.pro/remote/dispatcher/state_purchase_view/60428190", "UA-2025-06-30-008820-a")</f>
        <v>UA-2025-06-30-008820-a</v>
      </c>
      <c r="C600" s="1" t="s">
        <v>1397</v>
      </c>
      <c r="D600" s="1" t="s">
        <v>963</v>
      </c>
      <c r="E600" s="1" t="s">
        <v>1553</v>
      </c>
      <c r="F600" s="1" t="s">
        <v>87</v>
      </c>
      <c r="G600" s="1" t="s">
        <v>1623</v>
      </c>
      <c r="H600" s="1" t="s">
        <v>579</v>
      </c>
      <c r="I600" s="1" t="s">
        <v>513</v>
      </c>
      <c r="J600" s="6">
        <v>19900</v>
      </c>
      <c r="K600" s="5">
        <v>45834</v>
      </c>
      <c r="L600" s="7">
        <v>46022</v>
      </c>
    </row>
    <row r="601" spans="1:12" hidden="1" x14ac:dyDescent="0.25">
      <c r="A601" s="4">
        <v>595</v>
      </c>
      <c r="B601" s="2" t="str">
        <f>HYPERLINK("https://my.zakupivli.pro/remote/dispatcher/state_purchase_view/60427858", "UA-2025-06-30-008660-a")</f>
        <v>UA-2025-06-30-008660-a</v>
      </c>
      <c r="C601" s="1" t="s">
        <v>1505</v>
      </c>
      <c r="D601" s="1" t="s">
        <v>626</v>
      </c>
      <c r="E601" s="1" t="s">
        <v>1553</v>
      </c>
      <c r="F601" s="1" t="s">
        <v>87</v>
      </c>
      <c r="G601" s="1" t="s">
        <v>1623</v>
      </c>
      <c r="H601" s="1" t="s">
        <v>579</v>
      </c>
      <c r="I601" s="1" t="s">
        <v>512</v>
      </c>
      <c r="J601" s="6">
        <v>50000</v>
      </c>
      <c r="K601" s="5">
        <v>45834</v>
      </c>
      <c r="L601" s="7">
        <v>46022</v>
      </c>
    </row>
    <row r="602" spans="1:12" hidden="1" x14ac:dyDescent="0.25">
      <c r="A602" s="4">
        <v>596</v>
      </c>
      <c r="B602" s="2" t="str">
        <f>HYPERLINK("https://my.zakupivli.pro/remote/dispatcher/state_purchase_view/60427408", "UA-2025-06-30-008472-a")</f>
        <v>UA-2025-06-30-008472-a</v>
      </c>
      <c r="C602" s="1" t="s">
        <v>1682</v>
      </c>
      <c r="D602" s="1" t="s">
        <v>911</v>
      </c>
      <c r="E602" s="1" t="s">
        <v>1553</v>
      </c>
      <c r="F602" s="1" t="s">
        <v>87</v>
      </c>
      <c r="G602" s="1" t="s">
        <v>2018</v>
      </c>
      <c r="H602" s="1" t="s">
        <v>611</v>
      </c>
      <c r="I602" s="1" t="s">
        <v>509</v>
      </c>
      <c r="J602" s="6">
        <v>11648</v>
      </c>
      <c r="K602" s="5">
        <v>45834</v>
      </c>
      <c r="L602" s="7">
        <v>46022</v>
      </c>
    </row>
    <row r="603" spans="1:12" hidden="1" x14ac:dyDescent="0.25">
      <c r="A603" s="4">
        <v>597</v>
      </c>
      <c r="B603" s="2" t="str">
        <f>HYPERLINK("https://my.zakupivli.pro/remote/dispatcher/state_purchase_view/60427206", "UA-2025-06-30-008348-a")</f>
        <v>UA-2025-06-30-008348-a</v>
      </c>
      <c r="C603" s="1" t="s">
        <v>2250</v>
      </c>
      <c r="D603" s="1" t="s">
        <v>898</v>
      </c>
      <c r="E603" s="1" t="s">
        <v>1553</v>
      </c>
      <c r="F603" s="1" t="s">
        <v>87</v>
      </c>
      <c r="G603" s="1" t="s">
        <v>1551</v>
      </c>
      <c r="H603" s="1" t="s">
        <v>536</v>
      </c>
      <c r="I603" s="1" t="s">
        <v>506</v>
      </c>
      <c r="J603" s="6">
        <v>2990</v>
      </c>
      <c r="K603" s="5">
        <v>45834</v>
      </c>
      <c r="L603" s="7">
        <v>46022</v>
      </c>
    </row>
    <row r="604" spans="1:12" hidden="1" x14ac:dyDescent="0.25">
      <c r="A604" s="4">
        <v>598</v>
      </c>
      <c r="B604" s="2" t="str">
        <f>HYPERLINK("https://my.zakupivli.pro/remote/dispatcher/state_purchase_view/60421544", "UA-2025-06-30-005961-a")</f>
        <v>UA-2025-06-30-005961-a</v>
      </c>
      <c r="C604" s="1" t="s">
        <v>1802</v>
      </c>
      <c r="D604" s="1" t="s">
        <v>348</v>
      </c>
      <c r="E604" s="1" t="s">
        <v>1553</v>
      </c>
      <c r="F604" s="1" t="s">
        <v>87</v>
      </c>
      <c r="G604" s="1" t="s">
        <v>1623</v>
      </c>
      <c r="H604" s="1" t="s">
        <v>579</v>
      </c>
      <c r="I604" s="1" t="s">
        <v>511</v>
      </c>
      <c r="J604" s="6">
        <v>20000</v>
      </c>
      <c r="K604" s="5">
        <v>45834</v>
      </c>
      <c r="L604" s="7">
        <v>46022</v>
      </c>
    </row>
    <row r="605" spans="1:12" hidden="1" x14ac:dyDescent="0.25">
      <c r="A605" s="4">
        <v>599</v>
      </c>
      <c r="B605" s="2" t="str">
        <f>HYPERLINK("https://my.zakupivli.pro/remote/dispatcher/state_purchase_view/60421258", "UA-2025-06-30-005787-a")</f>
        <v>UA-2025-06-30-005787-a</v>
      </c>
      <c r="C605" s="1" t="s">
        <v>1549</v>
      </c>
      <c r="D605" s="1" t="s">
        <v>440</v>
      </c>
      <c r="E605" s="1" t="s">
        <v>1553</v>
      </c>
      <c r="F605" s="1" t="s">
        <v>87</v>
      </c>
      <c r="G605" s="1" t="s">
        <v>1551</v>
      </c>
      <c r="H605" s="1" t="s">
        <v>536</v>
      </c>
      <c r="I605" s="1" t="s">
        <v>503</v>
      </c>
      <c r="J605" s="6">
        <v>20000</v>
      </c>
      <c r="K605" s="5">
        <v>45834</v>
      </c>
      <c r="L605" s="7">
        <v>46022</v>
      </c>
    </row>
    <row r="606" spans="1:12" hidden="1" x14ac:dyDescent="0.25">
      <c r="A606" s="4">
        <v>600</v>
      </c>
      <c r="B606" s="2" t="str">
        <f>HYPERLINK("https://my.zakupivli.pro/remote/dispatcher/state_purchase_view/60420527", "UA-2025-06-30-005508-a")</f>
        <v>UA-2025-06-30-005508-a</v>
      </c>
      <c r="C606" s="1" t="s">
        <v>1826</v>
      </c>
      <c r="D606" s="1" t="s">
        <v>1261</v>
      </c>
      <c r="E606" s="1" t="s">
        <v>1553</v>
      </c>
      <c r="F606" s="1" t="s">
        <v>87</v>
      </c>
      <c r="G606" s="1" t="s">
        <v>2164</v>
      </c>
      <c r="H606" s="1" t="s">
        <v>808</v>
      </c>
      <c r="I606" s="1" t="s">
        <v>1757</v>
      </c>
      <c r="J606" s="6">
        <v>462</v>
      </c>
      <c r="K606" s="5">
        <v>45838</v>
      </c>
      <c r="L606" s="7">
        <v>46022</v>
      </c>
    </row>
    <row r="607" spans="1:12" hidden="1" x14ac:dyDescent="0.25">
      <c r="A607" s="4">
        <v>601</v>
      </c>
      <c r="B607" s="2" t="str">
        <f>HYPERLINK("https://my.zakupivli.pro/remote/dispatcher/state_purchase_view/60318843", "UA-2025-06-24-011934-a")</f>
        <v>UA-2025-06-24-011934-a</v>
      </c>
      <c r="C607" s="1" t="s">
        <v>2213</v>
      </c>
      <c r="D607" s="1" t="s">
        <v>713</v>
      </c>
      <c r="E607" s="1" t="s">
        <v>1553</v>
      </c>
      <c r="F607" s="1" t="s">
        <v>87</v>
      </c>
      <c r="G607" s="1" t="s">
        <v>2084</v>
      </c>
      <c r="H607" s="1" t="s">
        <v>1048</v>
      </c>
      <c r="I607" s="1" t="s">
        <v>597</v>
      </c>
      <c r="J607" s="6">
        <v>52828.04</v>
      </c>
      <c r="K607" s="5">
        <v>45856</v>
      </c>
      <c r="L607" s="7">
        <v>45902</v>
      </c>
    </row>
    <row r="608" spans="1:12" hidden="1" x14ac:dyDescent="0.25">
      <c r="A608" s="4">
        <v>602</v>
      </c>
      <c r="B608" s="2" t="str">
        <f>HYPERLINK("https://my.zakupivli.pro/remote/dispatcher/state_purchase_view/60312176", "UA-2025-06-24-008792-a")</f>
        <v>UA-2025-06-24-008792-a</v>
      </c>
      <c r="C608" s="1" t="s">
        <v>2287</v>
      </c>
      <c r="D608" s="1" t="s">
        <v>1042</v>
      </c>
      <c r="E608" s="1" t="s">
        <v>1553</v>
      </c>
      <c r="F608" s="1" t="s">
        <v>87</v>
      </c>
      <c r="G608" s="1" t="s">
        <v>2224</v>
      </c>
      <c r="H608" s="1" t="s">
        <v>323</v>
      </c>
      <c r="I608" s="1" t="s">
        <v>528</v>
      </c>
      <c r="J608" s="6">
        <v>18900</v>
      </c>
      <c r="K608" s="5">
        <v>45840</v>
      </c>
      <c r="L608" s="7">
        <v>45852</v>
      </c>
    </row>
    <row r="609" spans="1:12" hidden="1" x14ac:dyDescent="0.25">
      <c r="A609" s="4">
        <v>603</v>
      </c>
      <c r="B609" s="2" t="str">
        <f>HYPERLINK("https://my.zakupivli.pro/remote/dispatcher/state_purchase_view/60310207", "UA-2025-06-24-007917-a")</f>
        <v>UA-2025-06-24-007917-a</v>
      </c>
      <c r="C609" s="1" t="s">
        <v>1697</v>
      </c>
      <c r="D609" s="1" t="s">
        <v>708</v>
      </c>
      <c r="E609" s="1" t="s">
        <v>1553</v>
      </c>
      <c r="F609" s="1" t="s">
        <v>87</v>
      </c>
      <c r="G609" s="1" t="s">
        <v>2081</v>
      </c>
      <c r="H609" s="1" t="s">
        <v>828</v>
      </c>
      <c r="I609" s="1" t="s">
        <v>567</v>
      </c>
      <c r="J609" s="6">
        <v>95298</v>
      </c>
      <c r="K609" s="5">
        <v>45849</v>
      </c>
      <c r="L609" s="7">
        <v>45874</v>
      </c>
    </row>
    <row r="610" spans="1:12" hidden="1" x14ac:dyDescent="0.25">
      <c r="A610" s="4">
        <v>604</v>
      </c>
      <c r="B610" s="2" t="str">
        <f>HYPERLINK("https://my.zakupivli.pro/remote/dispatcher/state_purchase_view/60288883", "UA-2025-06-23-012191-a")</f>
        <v>UA-2025-06-23-012191-a</v>
      </c>
      <c r="C610" s="1" t="s">
        <v>1639</v>
      </c>
      <c r="D610" s="1" t="s">
        <v>866</v>
      </c>
      <c r="E610" s="1" t="s">
        <v>1553</v>
      </c>
      <c r="F610" s="1" t="s">
        <v>87</v>
      </c>
      <c r="G610" s="1" t="s">
        <v>2139</v>
      </c>
      <c r="H610" s="1" t="s">
        <v>777</v>
      </c>
      <c r="I610" s="1" t="s">
        <v>1193</v>
      </c>
      <c r="J610" s="6">
        <v>12930</v>
      </c>
      <c r="K610" s="5">
        <v>45828</v>
      </c>
      <c r="L610" s="7">
        <v>46022</v>
      </c>
    </row>
    <row r="611" spans="1:12" hidden="1" x14ac:dyDescent="0.25">
      <c r="A611" s="4">
        <v>605</v>
      </c>
      <c r="B611" s="2" t="str">
        <f>HYPERLINK("https://my.zakupivli.pro/remote/dispatcher/state_purchase_view/60282344", "UA-2025-06-23-009206-a")</f>
        <v>UA-2025-06-23-009206-a</v>
      </c>
      <c r="C611" s="1" t="s">
        <v>1908</v>
      </c>
      <c r="D611" s="1" t="s">
        <v>1324</v>
      </c>
      <c r="E611" s="1" t="s">
        <v>1553</v>
      </c>
      <c r="F611" s="1" t="s">
        <v>87</v>
      </c>
      <c r="G611" s="1" t="s">
        <v>1560</v>
      </c>
      <c r="H611" s="1" t="s">
        <v>108</v>
      </c>
      <c r="I611" s="1" t="s">
        <v>1184</v>
      </c>
      <c r="J611" s="6">
        <v>6316.7</v>
      </c>
      <c r="K611" s="5">
        <v>45828</v>
      </c>
      <c r="L611" s="7">
        <v>46022</v>
      </c>
    </row>
    <row r="612" spans="1:12" hidden="1" x14ac:dyDescent="0.25">
      <c r="A612" s="4">
        <v>606</v>
      </c>
      <c r="B612" s="2" t="str">
        <f>HYPERLINK("https://my.zakupivli.pro/remote/dispatcher/state_purchase_view/60279774", "UA-2025-06-23-008139-a")</f>
        <v>UA-2025-06-23-008139-a</v>
      </c>
      <c r="C612" s="1" t="s">
        <v>1823</v>
      </c>
      <c r="D612" s="1" t="s">
        <v>1264</v>
      </c>
      <c r="E612" s="1" t="s">
        <v>1553</v>
      </c>
      <c r="F612" s="1" t="s">
        <v>87</v>
      </c>
      <c r="G612" s="1" t="s">
        <v>2013</v>
      </c>
      <c r="H612" s="1" t="s">
        <v>556</v>
      </c>
      <c r="I612" s="1" t="s">
        <v>143</v>
      </c>
      <c r="J612" s="6">
        <v>18000</v>
      </c>
      <c r="K612" s="5">
        <v>45828</v>
      </c>
      <c r="L612" s="7">
        <v>46022</v>
      </c>
    </row>
    <row r="613" spans="1:12" hidden="1" x14ac:dyDescent="0.25">
      <c r="A613" s="4">
        <v>607</v>
      </c>
      <c r="B613" s="2" t="str">
        <f>HYPERLINK("https://my.zakupivli.pro/remote/dispatcher/state_purchase_view/60279150", "UA-2025-06-23-007842-a")</f>
        <v>UA-2025-06-23-007842-a</v>
      </c>
      <c r="C613" s="1" t="s">
        <v>1669</v>
      </c>
      <c r="D613" s="1" t="s">
        <v>673</v>
      </c>
      <c r="E613" s="1" t="s">
        <v>1553</v>
      </c>
      <c r="F613" s="1" t="s">
        <v>87</v>
      </c>
      <c r="G613" s="1" t="s">
        <v>1743</v>
      </c>
      <c r="H613" s="1" t="s">
        <v>538</v>
      </c>
      <c r="I613" s="1" t="s">
        <v>464</v>
      </c>
      <c r="J613" s="6">
        <v>72000</v>
      </c>
      <c r="K613" s="5">
        <v>45828</v>
      </c>
      <c r="L613" s="7">
        <v>46022</v>
      </c>
    </row>
    <row r="614" spans="1:12" hidden="1" x14ac:dyDescent="0.25">
      <c r="A614" s="4">
        <v>608</v>
      </c>
      <c r="B614" s="2" t="str">
        <f>HYPERLINK("https://my.zakupivli.pro/remote/dispatcher/state_purchase_view/60276425", "UA-2025-06-23-006627-a")</f>
        <v>UA-2025-06-23-006627-a</v>
      </c>
      <c r="C614" s="1" t="s">
        <v>1508</v>
      </c>
      <c r="D614" s="1" t="s">
        <v>645</v>
      </c>
      <c r="E614" s="1" t="s">
        <v>1553</v>
      </c>
      <c r="F614" s="1" t="s">
        <v>87</v>
      </c>
      <c r="G614" s="1" t="s">
        <v>2217</v>
      </c>
      <c r="H614" s="1" t="s">
        <v>405</v>
      </c>
      <c r="I614" s="1" t="s">
        <v>463</v>
      </c>
      <c r="J614" s="6">
        <v>2394</v>
      </c>
      <c r="K614" s="5">
        <v>45831</v>
      </c>
      <c r="L614" s="7">
        <v>46022</v>
      </c>
    </row>
    <row r="615" spans="1:12" hidden="1" x14ac:dyDescent="0.25">
      <c r="A615" s="4">
        <v>609</v>
      </c>
      <c r="B615" s="2" t="str">
        <f>HYPERLINK("https://my.zakupivli.pro/remote/dispatcher/state_purchase_view/60230205", "UA-2025-06-19-013707-a")</f>
        <v>UA-2025-06-19-013707-a</v>
      </c>
      <c r="C615" s="1" t="s">
        <v>1693</v>
      </c>
      <c r="D615" s="1" t="s">
        <v>736</v>
      </c>
      <c r="E615" s="1" t="s">
        <v>1553</v>
      </c>
      <c r="F615" s="1" t="s">
        <v>87</v>
      </c>
      <c r="G615" s="1" t="s">
        <v>2222</v>
      </c>
      <c r="H615" s="1" t="s">
        <v>771</v>
      </c>
      <c r="I615" s="1" t="s">
        <v>527</v>
      </c>
      <c r="J615" s="6">
        <v>1238041.52</v>
      </c>
      <c r="K615" s="5">
        <v>45841</v>
      </c>
      <c r="L615" s="7">
        <v>46028</v>
      </c>
    </row>
    <row r="616" spans="1:12" hidden="1" x14ac:dyDescent="0.25">
      <c r="A616" s="4">
        <v>610</v>
      </c>
      <c r="B616" s="2" t="str">
        <f>HYPERLINK("https://my.zakupivli.pro/remote/dispatcher/state_purchase_view/60229903", "UA-2025-06-19-013566-a")</f>
        <v>UA-2025-06-19-013566-a</v>
      </c>
      <c r="C616" s="1" t="s">
        <v>2032</v>
      </c>
      <c r="D616" s="1" t="s">
        <v>746</v>
      </c>
      <c r="E616" s="1" t="s">
        <v>1553</v>
      </c>
      <c r="F616" s="1" t="s">
        <v>87</v>
      </c>
      <c r="G616" s="1" t="s">
        <v>2163</v>
      </c>
      <c r="H616" s="1" t="s">
        <v>973</v>
      </c>
      <c r="I616" s="1" t="s">
        <v>524</v>
      </c>
      <c r="J616" s="6">
        <v>13986.6</v>
      </c>
      <c r="K616" s="5">
        <v>45838</v>
      </c>
      <c r="L616" s="7">
        <v>45874</v>
      </c>
    </row>
    <row r="617" spans="1:12" hidden="1" x14ac:dyDescent="0.25">
      <c r="A617" s="4">
        <v>611</v>
      </c>
      <c r="B617" s="2" t="str">
        <f>HYPERLINK("https://my.zakupivli.pro/remote/dispatcher/state_purchase_view/60229816", "UA-2025-06-19-013524-a")</f>
        <v>UA-2025-06-19-013524-a</v>
      </c>
      <c r="C617" s="1" t="s">
        <v>1939</v>
      </c>
      <c r="D617" s="1" t="s">
        <v>717</v>
      </c>
      <c r="E617" s="1" t="s">
        <v>1553</v>
      </c>
      <c r="F617" s="1" t="s">
        <v>87</v>
      </c>
      <c r="G617" s="1" t="s">
        <v>2243</v>
      </c>
      <c r="H617" s="1" t="s">
        <v>537</v>
      </c>
      <c r="I617" s="1" t="s">
        <v>522</v>
      </c>
      <c r="J617" s="6">
        <v>266550</v>
      </c>
      <c r="K617" s="5">
        <v>45838</v>
      </c>
      <c r="L617" s="7">
        <v>46015</v>
      </c>
    </row>
    <row r="618" spans="1:12" hidden="1" x14ac:dyDescent="0.25">
      <c r="A618" s="4">
        <v>612</v>
      </c>
      <c r="B618" s="2" t="str">
        <f>HYPERLINK("https://my.zakupivli.pro/remote/dispatcher/state_purchase_view/60216194", "UA-2025-06-19-007288-a")</f>
        <v>UA-2025-06-19-007288-a</v>
      </c>
      <c r="C618" s="1" t="s">
        <v>1381</v>
      </c>
      <c r="D618" s="1" t="s">
        <v>481</v>
      </c>
      <c r="E618" s="1" t="s">
        <v>1553</v>
      </c>
      <c r="F618" s="1" t="s">
        <v>87</v>
      </c>
      <c r="G618" s="1" t="s">
        <v>1564</v>
      </c>
      <c r="H618" s="1" t="s">
        <v>722</v>
      </c>
      <c r="I618" s="1" t="s">
        <v>434</v>
      </c>
      <c r="J618" s="6">
        <v>6400</v>
      </c>
      <c r="K618" s="5">
        <v>45827</v>
      </c>
      <c r="L618" s="7">
        <v>46022</v>
      </c>
    </row>
    <row r="619" spans="1:12" hidden="1" x14ac:dyDescent="0.25">
      <c r="A619" s="4">
        <v>613</v>
      </c>
      <c r="B619" s="2" t="str">
        <f>HYPERLINK("https://my.zakupivli.pro/remote/dispatcher/state_purchase_view/60215129", "UA-2025-06-19-006826-a")</f>
        <v>UA-2025-06-19-006826-a</v>
      </c>
      <c r="C619" s="1" t="s">
        <v>2182</v>
      </c>
      <c r="D619" s="1" t="s">
        <v>916</v>
      </c>
      <c r="E619" s="1" t="s">
        <v>1553</v>
      </c>
      <c r="F619" s="1" t="s">
        <v>87</v>
      </c>
      <c r="G619" s="1" t="s">
        <v>1564</v>
      </c>
      <c r="H619" s="1" t="s">
        <v>722</v>
      </c>
      <c r="I619" s="1" t="s">
        <v>408</v>
      </c>
      <c r="J619" s="6">
        <v>24745</v>
      </c>
      <c r="K619" s="5">
        <v>45825</v>
      </c>
      <c r="L619" s="7">
        <v>46022</v>
      </c>
    </row>
    <row r="620" spans="1:12" hidden="1" x14ac:dyDescent="0.25">
      <c r="A620" s="4">
        <v>614</v>
      </c>
      <c r="B620" s="2" t="str">
        <f>HYPERLINK("https://my.zakupivli.pro/remote/dispatcher/state_purchase_view/60214639", "UA-2025-06-19-006628-a")</f>
        <v>UA-2025-06-19-006628-a</v>
      </c>
      <c r="C620" s="1" t="s">
        <v>1963</v>
      </c>
      <c r="D620" s="1" t="s">
        <v>915</v>
      </c>
      <c r="E620" s="1" t="s">
        <v>1553</v>
      </c>
      <c r="F620" s="1" t="s">
        <v>87</v>
      </c>
      <c r="G620" s="1" t="s">
        <v>1581</v>
      </c>
      <c r="H620" s="1" t="s">
        <v>559</v>
      </c>
      <c r="I620" s="1" t="s">
        <v>411</v>
      </c>
      <c r="J620" s="6">
        <v>11400</v>
      </c>
      <c r="K620" s="5">
        <v>45825</v>
      </c>
      <c r="L620" s="7">
        <v>46022</v>
      </c>
    </row>
    <row r="621" spans="1:12" hidden="1" x14ac:dyDescent="0.25">
      <c r="A621" s="4">
        <v>615</v>
      </c>
      <c r="B621" s="2" t="str">
        <f>HYPERLINK("https://my.zakupivli.pro/remote/dispatcher/state_purchase_view/60213282", "UA-2025-06-19-005952-a")</f>
        <v>UA-2025-06-19-005952-a</v>
      </c>
      <c r="C621" s="1" t="s">
        <v>1911</v>
      </c>
      <c r="D621" s="1" t="s">
        <v>1284</v>
      </c>
      <c r="E621" s="1" t="s">
        <v>1553</v>
      </c>
      <c r="F621" s="1" t="s">
        <v>87</v>
      </c>
      <c r="G621" s="1" t="s">
        <v>1692</v>
      </c>
      <c r="H621" s="1" t="s">
        <v>653</v>
      </c>
      <c r="I621" s="1" t="s">
        <v>458</v>
      </c>
      <c r="J621" s="6">
        <v>18961</v>
      </c>
      <c r="K621" s="5">
        <v>45826</v>
      </c>
      <c r="L621" s="7">
        <v>46022</v>
      </c>
    </row>
    <row r="622" spans="1:12" hidden="1" x14ac:dyDescent="0.25">
      <c r="A622" s="4">
        <v>616</v>
      </c>
      <c r="B622" s="2" t="str">
        <f>HYPERLINK("https://my.zakupivli.pro/remote/dispatcher/state_purchase_view/60211435", "UA-2025-06-19-005145-a")</f>
        <v>UA-2025-06-19-005145-a</v>
      </c>
      <c r="C622" s="1" t="s">
        <v>1580</v>
      </c>
      <c r="D622" s="1" t="s">
        <v>913</v>
      </c>
      <c r="E622" s="1" t="s">
        <v>1553</v>
      </c>
      <c r="F622" s="1" t="s">
        <v>87</v>
      </c>
      <c r="G622" s="1" t="s">
        <v>1623</v>
      </c>
      <c r="H622" s="1" t="s">
        <v>579</v>
      </c>
      <c r="I622" s="1" t="s">
        <v>452</v>
      </c>
      <c r="J622" s="6">
        <v>20000</v>
      </c>
      <c r="K622" s="5">
        <v>45826</v>
      </c>
      <c r="L622" s="7">
        <v>46022</v>
      </c>
    </row>
    <row r="623" spans="1:12" hidden="1" x14ac:dyDescent="0.25">
      <c r="A623" s="4">
        <v>617</v>
      </c>
      <c r="B623" s="2" t="str">
        <f>HYPERLINK("https://my.zakupivli.pro/remote/dispatcher/state_purchase_view/60211099", "UA-2025-06-19-004924-a")</f>
        <v>UA-2025-06-19-004924-a</v>
      </c>
      <c r="C623" s="1" t="s">
        <v>2006</v>
      </c>
      <c r="D623" s="1" t="s">
        <v>855</v>
      </c>
      <c r="E623" s="1" t="s">
        <v>1553</v>
      </c>
      <c r="F623" s="1" t="s">
        <v>87</v>
      </c>
      <c r="G623" s="1" t="s">
        <v>2114</v>
      </c>
      <c r="H623" s="1" t="s">
        <v>831</v>
      </c>
      <c r="I623" s="1" t="s">
        <v>455</v>
      </c>
      <c r="J623" s="6">
        <v>68304</v>
      </c>
      <c r="K623" s="5">
        <v>45826</v>
      </c>
      <c r="L623" s="7">
        <v>46022</v>
      </c>
    </row>
    <row r="624" spans="1:12" hidden="1" x14ac:dyDescent="0.25">
      <c r="A624" s="4">
        <v>618</v>
      </c>
      <c r="B624" s="2" t="str">
        <f>HYPERLINK("https://my.zakupivli.pro/remote/dispatcher/state_purchase_view/60206357", "UA-2025-06-19-002840-a")</f>
        <v>UA-2025-06-19-002840-a</v>
      </c>
      <c r="C624" s="1" t="s">
        <v>2189</v>
      </c>
      <c r="D624" s="1" t="s">
        <v>328</v>
      </c>
      <c r="E624" s="1" t="s">
        <v>1553</v>
      </c>
      <c r="F624" s="1" t="s">
        <v>87</v>
      </c>
      <c r="G624" s="1" t="s">
        <v>2114</v>
      </c>
      <c r="H624" s="1" t="s">
        <v>831</v>
      </c>
      <c r="I624" s="1" t="s">
        <v>456</v>
      </c>
      <c r="J624" s="6">
        <v>5992</v>
      </c>
      <c r="K624" s="5">
        <v>45826</v>
      </c>
      <c r="L624" s="7">
        <v>46022</v>
      </c>
    </row>
    <row r="625" spans="1:12" hidden="1" x14ac:dyDescent="0.25">
      <c r="A625" s="4">
        <v>619</v>
      </c>
      <c r="B625" s="2" t="str">
        <f>HYPERLINK("https://my.zakupivli.pro/remote/dispatcher/state_purchase_view/60202977", "UA-2025-06-19-001357-a")</f>
        <v>UA-2025-06-19-001357-a</v>
      </c>
      <c r="C625" s="1" t="s">
        <v>2262</v>
      </c>
      <c r="D625" s="1" t="s">
        <v>497</v>
      </c>
      <c r="E625" s="1" t="s">
        <v>1553</v>
      </c>
      <c r="F625" s="1" t="s">
        <v>87</v>
      </c>
      <c r="G625" s="1" t="s">
        <v>2266</v>
      </c>
      <c r="H625" s="1" t="s">
        <v>625</v>
      </c>
      <c r="I625" s="1" t="s">
        <v>422</v>
      </c>
      <c r="J625" s="6">
        <v>61617</v>
      </c>
      <c r="K625" s="5">
        <v>45826</v>
      </c>
      <c r="L625" s="7">
        <v>46022</v>
      </c>
    </row>
    <row r="626" spans="1:12" hidden="1" x14ac:dyDescent="0.25">
      <c r="A626" s="4">
        <v>620</v>
      </c>
      <c r="B626" s="2" t="str">
        <f>HYPERLINK("https://my.zakupivli.pro/remote/dispatcher/state_purchase_view/60198937", "UA-2025-06-18-013738-a")</f>
        <v>UA-2025-06-18-013738-a</v>
      </c>
      <c r="C626" s="1" t="s">
        <v>1849</v>
      </c>
      <c r="D626" s="1" t="s">
        <v>1163</v>
      </c>
      <c r="E626" s="1" t="s">
        <v>1553</v>
      </c>
      <c r="F626" s="1" t="s">
        <v>87</v>
      </c>
      <c r="G626" s="1" t="s">
        <v>1635</v>
      </c>
      <c r="H626" s="1" t="s">
        <v>525</v>
      </c>
      <c r="I626" s="1" t="s">
        <v>333</v>
      </c>
      <c r="J626" s="6">
        <v>820</v>
      </c>
      <c r="K626" s="5">
        <v>45825</v>
      </c>
      <c r="L626" s="7">
        <v>46022</v>
      </c>
    </row>
    <row r="627" spans="1:12" hidden="1" x14ac:dyDescent="0.25">
      <c r="A627" s="4">
        <v>621</v>
      </c>
      <c r="B627" s="2" t="str">
        <f>HYPERLINK("https://my.zakupivli.pro/remote/dispatcher/state_purchase_view/60198900", "UA-2025-06-18-013716-a")</f>
        <v>UA-2025-06-18-013716-a</v>
      </c>
      <c r="C627" s="1" t="s">
        <v>2282</v>
      </c>
      <c r="D627" s="1" t="s">
        <v>881</v>
      </c>
      <c r="E627" s="1" t="s">
        <v>1553</v>
      </c>
      <c r="F627" s="1" t="s">
        <v>87</v>
      </c>
      <c r="G627" s="1" t="s">
        <v>1635</v>
      </c>
      <c r="H627" s="1" t="s">
        <v>525</v>
      </c>
      <c r="I627" s="1" t="s">
        <v>292</v>
      </c>
      <c r="J627" s="6">
        <v>50118</v>
      </c>
      <c r="K627" s="5">
        <v>45825</v>
      </c>
      <c r="L627" s="7">
        <v>46022</v>
      </c>
    </row>
    <row r="628" spans="1:12" hidden="1" x14ac:dyDescent="0.25">
      <c r="A628" s="4">
        <v>622</v>
      </c>
      <c r="B628" s="2" t="str">
        <f>HYPERLINK("https://my.zakupivli.pro/remote/dispatcher/state_purchase_view/60198852", "UA-2025-06-18-013693-a")</f>
        <v>UA-2025-06-18-013693-a</v>
      </c>
      <c r="C628" s="1" t="s">
        <v>1733</v>
      </c>
      <c r="D628" s="1" t="s">
        <v>882</v>
      </c>
      <c r="E628" s="1" t="s">
        <v>1553</v>
      </c>
      <c r="F628" s="1" t="s">
        <v>87</v>
      </c>
      <c r="G628" s="1" t="s">
        <v>1635</v>
      </c>
      <c r="H628" s="1" t="s">
        <v>525</v>
      </c>
      <c r="I628" s="1" t="s">
        <v>276</v>
      </c>
      <c r="J628" s="6">
        <v>30920</v>
      </c>
      <c r="K628" s="5">
        <v>45825</v>
      </c>
      <c r="L628" s="7">
        <v>46022</v>
      </c>
    </row>
    <row r="629" spans="1:12" hidden="1" x14ac:dyDescent="0.25">
      <c r="A629" s="4">
        <v>623</v>
      </c>
      <c r="B629" s="2" t="str">
        <f>HYPERLINK("https://my.zakupivli.pro/remote/dispatcher/state_purchase_view/60198813", "UA-2025-06-18-013672-a")</f>
        <v>UA-2025-06-18-013672-a</v>
      </c>
      <c r="C629" s="1" t="s">
        <v>1659</v>
      </c>
      <c r="D629" s="1" t="s">
        <v>886</v>
      </c>
      <c r="E629" s="1" t="s">
        <v>1553</v>
      </c>
      <c r="F629" s="1" t="s">
        <v>87</v>
      </c>
      <c r="G629" s="1" t="s">
        <v>1635</v>
      </c>
      <c r="H629" s="1" t="s">
        <v>525</v>
      </c>
      <c r="I629" s="1" t="s">
        <v>310</v>
      </c>
      <c r="J629" s="6">
        <v>27360</v>
      </c>
      <c r="K629" s="5">
        <v>45825</v>
      </c>
      <c r="L629" s="7">
        <v>46022</v>
      </c>
    </row>
    <row r="630" spans="1:12" hidden="1" x14ac:dyDescent="0.25">
      <c r="A630" s="4">
        <v>624</v>
      </c>
      <c r="B630" s="2" t="str">
        <f>HYPERLINK("https://my.zakupivli.pro/remote/dispatcher/state_purchase_view/60198661", "UA-2025-06-18-013602-a")</f>
        <v>UA-2025-06-18-013602-a</v>
      </c>
      <c r="C630" s="1" t="s">
        <v>1973</v>
      </c>
      <c r="D630" s="1" t="s">
        <v>1304</v>
      </c>
      <c r="E630" s="1" t="s">
        <v>1553</v>
      </c>
      <c r="F630" s="1" t="s">
        <v>87</v>
      </c>
      <c r="G630" s="1" t="s">
        <v>1563</v>
      </c>
      <c r="H630" s="1" t="s">
        <v>115</v>
      </c>
      <c r="I630" s="1" t="s">
        <v>1346</v>
      </c>
      <c r="J630" s="6">
        <v>890</v>
      </c>
      <c r="K630" s="5">
        <v>45825</v>
      </c>
      <c r="L630" s="7">
        <v>46022</v>
      </c>
    </row>
    <row r="631" spans="1:12" hidden="1" x14ac:dyDescent="0.25">
      <c r="A631" s="4">
        <v>625</v>
      </c>
      <c r="B631" s="2" t="str">
        <f>HYPERLINK("https://my.zakupivli.pro/remote/dispatcher/state_purchase_view/60198624", "UA-2025-06-18-013570-a")</f>
        <v>UA-2025-06-18-013570-a</v>
      </c>
      <c r="C631" s="1" t="s">
        <v>1976</v>
      </c>
      <c r="D631" s="1" t="s">
        <v>1304</v>
      </c>
      <c r="E631" s="1" t="s">
        <v>1553</v>
      </c>
      <c r="F631" s="1" t="s">
        <v>87</v>
      </c>
      <c r="G631" s="1" t="s">
        <v>1563</v>
      </c>
      <c r="H631" s="1" t="s">
        <v>115</v>
      </c>
      <c r="I631" s="1" t="s">
        <v>1321</v>
      </c>
      <c r="J631" s="6">
        <v>445</v>
      </c>
      <c r="K631" s="5">
        <v>45825</v>
      </c>
      <c r="L631" s="7">
        <v>46022</v>
      </c>
    </row>
    <row r="632" spans="1:12" hidden="1" x14ac:dyDescent="0.25">
      <c r="A632" s="4">
        <v>626</v>
      </c>
      <c r="B632" s="2" t="str">
        <f>HYPERLINK("https://my.zakupivli.pro/remote/dispatcher/state_purchase_view/60198547", "UA-2025-06-18-013531-a")</f>
        <v>UA-2025-06-18-013531-a</v>
      </c>
      <c r="C632" s="1" t="s">
        <v>1656</v>
      </c>
      <c r="D632" s="1" t="s">
        <v>598</v>
      </c>
      <c r="E632" s="1" t="s">
        <v>1553</v>
      </c>
      <c r="F632" s="1" t="s">
        <v>87</v>
      </c>
      <c r="G632" s="1" t="s">
        <v>1551</v>
      </c>
      <c r="H632" s="1" t="s">
        <v>536</v>
      </c>
      <c r="I632" s="1" t="s">
        <v>447</v>
      </c>
      <c r="J632" s="6">
        <v>10000</v>
      </c>
      <c r="K632" s="5">
        <v>45826</v>
      </c>
      <c r="L632" s="7">
        <v>46022</v>
      </c>
    </row>
    <row r="633" spans="1:12" hidden="1" x14ac:dyDescent="0.25">
      <c r="A633" s="4">
        <v>627</v>
      </c>
      <c r="B633" s="2" t="str">
        <f>HYPERLINK("https://my.zakupivli.pro/remote/dispatcher/state_purchase_view/60198409", "UA-2025-06-18-013467-a")</f>
        <v>UA-2025-06-18-013467-a</v>
      </c>
      <c r="C633" s="1" t="s">
        <v>1707</v>
      </c>
      <c r="D633" s="1" t="s">
        <v>438</v>
      </c>
      <c r="E633" s="1" t="s">
        <v>1553</v>
      </c>
      <c r="F633" s="1" t="s">
        <v>87</v>
      </c>
      <c r="G633" s="1" t="s">
        <v>2233</v>
      </c>
      <c r="H633" s="1" t="s">
        <v>568</v>
      </c>
      <c r="I633" s="1" t="s">
        <v>560</v>
      </c>
      <c r="J633" s="6">
        <v>78549</v>
      </c>
      <c r="K633" s="5">
        <v>45849</v>
      </c>
      <c r="L633" s="7">
        <v>45902</v>
      </c>
    </row>
    <row r="634" spans="1:12" hidden="1" x14ac:dyDescent="0.25">
      <c r="A634" s="4">
        <v>628</v>
      </c>
      <c r="B634" s="2" t="str">
        <f>HYPERLINK("https://my.zakupivli.pro/remote/dispatcher/state_purchase_view/60165659", "UA-2025-06-17-014078-a")</f>
        <v>UA-2025-06-17-014078-a</v>
      </c>
      <c r="C634" s="1" t="s">
        <v>2025</v>
      </c>
      <c r="D634" s="1" t="s">
        <v>912</v>
      </c>
      <c r="E634" s="1" t="s">
        <v>1553</v>
      </c>
      <c r="F634" s="1" t="s">
        <v>87</v>
      </c>
      <c r="G634" s="1" t="s">
        <v>1551</v>
      </c>
      <c r="H634" s="1" t="s">
        <v>536</v>
      </c>
      <c r="I634" s="1" t="s">
        <v>443</v>
      </c>
      <c r="J634" s="6">
        <v>368</v>
      </c>
      <c r="K634" s="5">
        <v>45825</v>
      </c>
      <c r="L634" s="7">
        <v>46022</v>
      </c>
    </row>
    <row r="635" spans="1:12" hidden="1" x14ac:dyDescent="0.25">
      <c r="A635" s="4">
        <v>629</v>
      </c>
      <c r="B635" s="2" t="str">
        <f>HYPERLINK("https://my.zakupivli.pro/remote/dispatcher/state_purchase_view/60125016", "UA-2025-06-16-009634-a")</f>
        <v>UA-2025-06-16-009634-a</v>
      </c>
      <c r="C635" s="1" t="s">
        <v>1650</v>
      </c>
      <c r="D635" s="1" t="s">
        <v>1010</v>
      </c>
      <c r="E635" s="1" t="s">
        <v>1553</v>
      </c>
      <c r="F635" s="1" t="s">
        <v>87</v>
      </c>
      <c r="G635" s="1" t="s">
        <v>1623</v>
      </c>
      <c r="H635" s="1" t="s">
        <v>579</v>
      </c>
      <c r="I635" s="1" t="s">
        <v>418</v>
      </c>
      <c r="J635" s="6">
        <v>50000</v>
      </c>
      <c r="K635" s="5">
        <v>45820</v>
      </c>
      <c r="L635" s="7">
        <v>46022</v>
      </c>
    </row>
    <row r="636" spans="1:12" hidden="1" x14ac:dyDescent="0.25">
      <c r="A636" s="4">
        <v>630</v>
      </c>
      <c r="B636" s="2" t="str">
        <f>HYPERLINK("https://my.zakupivli.pro/remote/dispatcher/state_purchase_view/60119090", "UA-2025-06-16-007041-a")</f>
        <v>UA-2025-06-16-007041-a</v>
      </c>
      <c r="C636" s="1" t="s">
        <v>1796</v>
      </c>
      <c r="D636" s="1" t="s">
        <v>423</v>
      </c>
      <c r="E636" s="1" t="s">
        <v>1553</v>
      </c>
      <c r="F636" s="1" t="s">
        <v>87</v>
      </c>
      <c r="G636" s="1" t="s">
        <v>1373</v>
      </c>
      <c r="H636" s="1" t="s">
        <v>409</v>
      </c>
      <c r="I636" s="1" t="s">
        <v>275</v>
      </c>
      <c r="J636" s="6">
        <v>12210</v>
      </c>
      <c r="K636" s="5">
        <v>45821</v>
      </c>
      <c r="L636" s="7">
        <v>46022</v>
      </c>
    </row>
    <row r="637" spans="1:12" hidden="1" x14ac:dyDescent="0.25">
      <c r="A637" s="4">
        <v>631</v>
      </c>
      <c r="B637" s="2" t="str">
        <f>HYPERLINK("https://my.zakupivli.pro/remote/dispatcher/state_purchase_view/60117587", "UA-2025-06-16-006340-a")</f>
        <v>UA-2025-06-16-006340-a</v>
      </c>
      <c r="C637" s="1" t="s">
        <v>1810</v>
      </c>
      <c r="D637" s="1" t="s">
        <v>1054</v>
      </c>
      <c r="E637" s="1" t="s">
        <v>1553</v>
      </c>
      <c r="F637" s="1" t="s">
        <v>87</v>
      </c>
      <c r="G637" s="1" t="s">
        <v>1772</v>
      </c>
      <c r="H637" s="1" t="s">
        <v>796</v>
      </c>
      <c r="I637" s="1" t="s">
        <v>415</v>
      </c>
      <c r="J637" s="6">
        <v>99608.24</v>
      </c>
      <c r="K637" s="5">
        <v>45821</v>
      </c>
      <c r="L637" s="7">
        <v>46022</v>
      </c>
    </row>
    <row r="638" spans="1:12" hidden="1" x14ac:dyDescent="0.25">
      <c r="A638" s="4">
        <v>632</v>
      </c>
      <c r="B638" s="2" t="str">
        <f>HYPERLINK("https://my.zakupivli.pro/remote/dispatcher/state_purchase_view/60108655", "UA-2025-06-16-002423-a")</f>
        <v>UA-2025-06-16-002423-a</v>
      </c>
      <c r="C638" s="1" t="s">
        <v>2186</v>
      </c>
      <c r="D638" s="1" t="s">
        <v>679</v>
      </c>
      <c r="E638" s="1" t="s">
        <v>1553</v>
      </c>
      <c r="F638" s="1" t="s">
        <v>87</v>
      </c>
      <c r="G638" s="1" t="s">
        <v>1551</v>
      </c>
      <c r="H638" s="1" t="s">
        <v>536</v>
      </c>
      <c r="I638" s="1" t="s">
        <v>413</v>
      </c>
      <c r="J638" s="6">
        <v>2250</v>
      </c>
      <c r="K638" s="5">
        <v>45818</v>
      </c>
      <c r="L638" s="7">
        <v>46022</v>
      </c>
    </row>
    <row r="639" spans="1:12" hidden="1" x14ac:dyDescent="0.25">
      <c r="A639" s="4">
        <v>633</v>
      </c>
      <c r="B639" s="2" t="str">
        <f>HYPERLINK("https://my.zakupivli.pro/remote/dispatcher/state_purchase_view/60091938", "UA-2025-06-13-007694-a")</f>
        <v>UA-2025-06-13-007694-a</v>
      </c>
      <c r="C639" s="1" t="s">
        <v>2287</v>
      </c>
      <c r="D639" s="1" t="s">
        <v>1042</v>
      </c>
      <c r="E639" s="1" t="s">
        <v>1553</v>
      </c>
      <c r="F639" s="1" t="s">
        <v>87</v>
      </c>
      <c r="G639" s="1"/>
      <c r="H639" s="1"/>
      <c r="I639" s="1"/>
      <c r="J639" s="1"/>
      <c r="K639" s="1" t="s">
        <v>53</v>
      </c>
      <c r="L639" s="1"/>
    </row>
    <row r="640" spans="1:12" hidden="1" x14ac:dyDescent="0.25">
      <c r="A640" s="4">
        <v>634</v>
      </c>
      <c r="B640" s="2" t="str">
        <f>HYPERLINK("https://my.zakupivli.pro/remote/dispatcher/state_purchase_view/60062842", "UA-2025-06-12-008352-a")</f>
        <v>UA-2025-06-12-008352-a</v>
      </c>
      <c r="C640" s="1" t="s">
        <v>1798</v>
      </c>
      <c r="D640" s="1" t="s">
        <v>952</v>
      </c>
      <c r="E640" s="1" t="s">
        <v>1553</v>
      </c>
      <c r="F640" s="1" t="s">
        <v>87</v>
      </c>
      <c r="G640" s="1" t="s">
        <v>2148</v>
      </c>
      <c r="H640" s="1" t="s">
        <v>116</v>
      </c>
      <c r="I640" s="1" t="s">
        <v>1239</v>
      </c>
      <c r="J640" s="6">
        <v>2268</v>
      </c>
      <c r="K640" s="5">
        <v>45819</v>
      </c>
      <c r="L640" s="7">
        <v>46022</v>
      </c>
    </row>
    <row r="641" spans="1:12" hidden="1" x14ac:dyDescent="0.25">
      <c r="A641" s="4">
        <v>635</v>
      </c>
      <c r="B641" s="2" t="str">
        <f>HYPERLINK("https://my.zakupivli.pro/remote/dispatcher/state_purchase_view/60031328", "UA-2025-06-11-008326-a")</f>
        <v>UA-2025-06-11-008326-a</v>
      </c>
      <c r="C641" s="1" t="s">
        <v>1986</v>
      </c>
      <c r="D641" s="1" t="s">
        <v>741</v>
      </c>
      <c r="E641" s="1" t="s">
        <v>1553</v>
      </c>
      <c r="F641" s="1" t="s">
        <v>87</v>
      </c>
      <c r="G641" s="1" t="s">
        <v>2089</v>
      </c>
      <c r="H641" s="1" t="s">
        <v>824</v>
      </c>
      <c r="I641" s="1" t="s">
        <v>1099</v>
      </c>
      <c r="J641" s="6">
        <v>605822.23</v>
      </c>
      <c r="K641" s="5">
        <v>45831</v>
      </c>
      <c r="L641" s="7">
        <v>45916</v>
      </c>
    </row>
    <row r="642" spans="1:12" hidden="1" x14ac:dyDescent="0.25">
      <c r="A642" s="4">
        <v>636</v>
      </c>
      <c r="B642" s="2" t="str">
        <f>HYPERLINK("https://my.zakupivli.pro/remote/dispatcher/state_purchase_view/60017455", "UA-2025-06-11-002299-a")</f>
        <v>UA-2025-06-11-002299-a</v>
      </c>
      <c r="C642" s="1" t="s">
        <v>1418</v>
      </c>
      <c r="D642" s="1" t="s">
        <v>431</v>
      </c>
      <c r="E642" s="1" t="s">
        <v>1553</v>
      </c>
      <c r="F642" s="1" t="s">
        <v>87</v>
      </c>
      <c r="G642" s="1" t="s">
        <v>2144</v>
      </c>
      <c r="H642" s="1" t="s">
        <v>435</v>
      </c>
      <c r="I642" s="1" t="s">
        <v>792</v>
      </c>
      <c r="J642" s="6">
        <v>6900</v>
      </c>
      <c r="K642" s="5">
        <v>45818</v>
      </c>
      <c r="L642" s="7">
        <v>46022</v>
      </c>
    </row>
    <row r="643" spans="1:12" hidden="1" x14ac:dyDescent="0.25">
      <c r="A643" s="4">
        <v>637</v>
      </c>
      <c r="B643" s="2" t="str">
        <f>HYPERLINK("https://my.zakupivli.pro/remote/dispatcher/state_purchase_view/59994431", "UA-2025-06-10-005309-a")</f>
        <v>UA-2025-06-10-005309-a</v>
      </c>
      <c r="C643" s="1" t="s">
        <v>1842</v>
      </c>
      <c r="D643" s="1" t="s">
        <v>1138</v>
      </c>
      <c r="E643" s="1" t="s">
        <v>1553</v>
      </c>
      <c r="F643" s="1" t="s">
        <v>87</v>
      </c>
      <c r="G643" s="1" t="s">
        <v>1478</v>
      </c>
      <c r="H643" s="1" t="s">
        <v>613</v>
      </c>
      <c r="I643" s="1" t="s">
        <v>414</v>
      </c>
      <c r="J643" s="6">
        <v>18070</v>
      </c>
      <c r="K643" s="5">
        <v>45817</v>
      </c>
      <c r="L643" s="7">
        <v>46022</v>
      </c>
    </row>
    <row r="644" spans="1:12" hidden="1" x14ac:dyDescent="0.25">
      <c r="A644" s="4">
        <v>638</v>
      </c>
      <c r="B644" s="2" t="str">
        <f>HYPERLINK("https://my.zakupivli.pro/remote/dispatcher/state_purchase_view/59991370", "UA-2025-06-10-003963-a")</f>
        <v>UA-2025-06-10-003963-a</v>
      </c>
      <c r="C644" s="1" t="s">
        <v>1568</v>
      </c>
      <c r="D644" s="1" t="s">
        <v>661</v>
      </c>
      <c r="E644" s="1" t="s">
        <v>1553</v>
      </c>
      <c r="F644" s="1" t="s">
        <v>87</v>
      </c>
      <c r="G644" s="1" t="s">
        <v>1743</v>
      </c>
      <c r="H644" s="1" t="s">
        <v>538</v>
      </c>
      <c r="I644" s="1" t="s">
        <v>407</v>
      </c>
      <c r="J644" s="6">
        <v>46090</v>
      </c>
      <c r="K644" s="5">
        <v>45813</v>
      </c>
      <c r="L644" s="7">
        <v>46022</v>
      </c>
    </row>
    <row r="645" spans="1:12" hidden="1" x14ac:dyDescent="0.25">
      <c r="A645" s="4">
        <v>639</v>
      </c>
      <c r="B645" s="2" t="str">
        <f>HYPERLINK("https://my.zakupivli.pro/remote/dispatcher/state_purchase_view/59989319", "UA-2025-06-10-003061-a")</f>
        <v>UA-2025-06-10-003061-a</v>
      </c>
      <c r="C645" s="1" t="s">
        <v>2186</v>
      </c>
      <c r="D645" s="1" t="s">
        <v>679</v>
      </c>
      <c r="E645" s="1" t="s">
        <v>1553</v>
      </c>
      <c r="F645" s="1" t="s">
        <v>87</v>
      </c>
      <c r="G645" s="1" t="s">
        <v>1551</v>
      </c>
      <c r="H645" s="1" t="s">
        <v>536</v>
      </c>
      <c r="I645" s="1" t="s">
        <v>406</v>
      </c>
      <c r="J645" s="6">
        <v>2250</v>
      </c>
      <c r="K645" s="5">
        <v>45812</v>
      </c>
      <c r="L645" s="7">
        <v>46022</v>
      </c>
    </row>
    <row r="646" spans="1:12" hidden="1" x14ac:dyDescent="0.25">
      <c r="A646" s="4">
        <v>640</v>
      </c>
      <c r="B646" s="2" t="str">
        <f>HYPERLINK("https://my.zakupivli.pro/remote/dispatcher/state_purchase_view/59986296", "UA-2025-06-10-001657-a")</f>
        <v>UA-2025-06-10-001657-a</v>
      </c>
      <c r="C646" s="1" t="s">
        <v>2185</v>
      </c>
      <c r="D646" s="1" t="s">
        <v>1336</v>
      </c>
      <c r="E646" s="1" t="s">
        <v>1553</v>
      </c>
      <c r="F646" s="1" t="s">
        <v>87</v>
      </c>
      <c r="G646" s="1" t="s">
        <v>2102</v>
      </c>
      <c r="H646" s="1" t="s">
        <v>975</v>
      </c>
      <c r="I646" s="1" t="s">
        <v>583</v>
      </c>
      <c r="J646" s="6">
        <v>15000</v>
      </c>
      <c r="K646" s="5">
        <v>45812</v>
      </c>
      <c r="L646" s="7">
        <v>46022</v>
      </c>
    </row>
    <row r="647" spans="1:12" hidden="1" x14ac:dyDescent="0.25">
      <c r="A647" s="4">
        <v>641</v>
      </c>
      <c r="B647" s="2" t="str">
        <f>HYPERLINK("https://my.zakupivli.pro/remote/dispatcher/state_purchase_view/59984793", "UA-2025-06-10-001008-a")</f>
        <v>UA-2025-06-10-001008-a</v>
      </c>
      <c r="C647" s="1" t="s">
        <v>1908</v>
      </c>
      <c r="D647" s="1" t="s">
        <v>1324</v>
      </c>
      <c r="E647" s="1" t="s">
        <v>1553</v>
      </c>
      <c r="F647" s="1" t="s">
        <v>87</v>
      </c>
      <c r="G647" s="1" t="s">
        <v>1560</v>
      </c>
      <c r="H647" s="1" t="s">
        <v>108</v>
      </c>
      <c r="I647" s="1" t="s">
        <v>1164</v>
      </c>
      <c r="J647" s="6">
        <v>3754.67</v>
      </c>
      <c r="K647" s="5">
        <v>45817</v>
      </c>
      <c r="L647" s="7">
        <v>46022</v>
      </c>
    </row>
    <row r="648" spans="1:12" hidden="1" x14ac:dyDescent="0.25">
      <c r="A648" s="4">
        <v>642</v>
      </c>
      <c r="B648" s="2" t="str">
        <f>HYPERLINK("https://my.zakupivli.pro/remote/dispatcher/state_purchase_view/59920748", "UA-2025-06-05-011665-a")</f>
        <v>UA-2025-06-05-011665-a</v>
      </c>
      <c r="C648" s="1" t="s">
        <v>1869</v>
      </c>
      <c r="D648" s="1" t="s">
        <v>1160</v>
      </c>
      <c r="E648" s="1" t="s">
        <v>1553</v>
      </c>
      <c r="F648" s="1" t="s">
        <v>87</v>
      </c>
      <c r="G648" s="1"/>
      <c r="H648" s="1"/>
      <c r="I648" s="1"/>
      <c r="J648" s="1"/>
      <c r="K648" s="1" t="s">
        <v>53</v>
      </c>
      <c r="L648" s="1"/>
    </row>
    <row r="649" spans="1:12" hidden="1" x14ac:dyDescent="0.25">
      <c r="A649" s="4">
        <v>643</v>
      </c>
      <c r="B649" s="2" t="str">
        <f>HYPERLINK("https://my.zakupivli.pro/remote/dispatcher/state_purchase_view/59883649", "UA-2025-06-04-009491-a")</f>
        <v>UA-2025-06-04-009491-a</v>
      </c>
      <c r="C649" s="1" t="s">
        <v>50</v>
      </c>
      <c r="D649" s="1" t="s">
        <v>494</v>
      </c>
      <c r="E649" s="1" t="s">
        <v>1553</v>
      </c>
      <c r="F649" s="1" t="s">
        <v>87</v>
      </c>
      <c r="G649" s="1" t="s">
        <v>1564</v>
      </c>
      <c r="H649" s="1" t="s">
        <v>722</v>
      </c>
      <c r="I649" s="1" t="s">
        <v>391</v>
      </c>
      <c r="J649" s="6">
        <v>4720</v>
      </c>
      <c r="K649" s="5">
        <v>45807</v>
      </c>
      <c r="L649" s="7">
        <v>46022</v>
      </c>
    </row>
    <row r="650" spans="1:12" hidden="1" x14ac:dyDescent="0.25">
      <c r="A650" s="4">
        <v>644</v>
      </c>
      <c r="B650" s="2" t="str">
        <f>HYPERLINK("https://my.zakupivli.pro/remote/dispatcher/state_purchase_view/59881025", "UA-2025-06-04-008408-a")</f>
        <v>UA-2025-06-04-008408-a</v>
      </c>
      <c r="C650" s="1" t="s">
        <v>1463</v>
      </c>
      <c r="D650" s="1" t="s">
        <v>910</v>
      </c>
      <c r="E650" s="1" t="s">
        <v>1553</v>
      </c>
      <c r="F650" s="1" t="s">
        <v>87</v>
      </c>
      <c r="G650" s="1" t="s">
        <v>1759</v>
      </c>
      <c r="H650" s="1" t="s">
        <v>295</v>
      </c>
      <c r="I650" s="1" t="s">
        <v>384</v>
      </c>
      <c r="J650" s="6">
        <v>540</v>
      </c>
      <c r="K650" s="5">
        <v>45803</v>
      </c>
      <c r="L650" s="7">
        <v>46022</v>
      </c>
    </row>
    <row r="651" spans="1:12" hidden="1" x14ac:dyDescent="0.25">
      <c r="A651" s="4">
        <v>645</v>
      </c>
      <c r="B651" s="2" t="str">
        <f>HYPERLINK("https://my.zakupivli.pro/remote/dispatcher/state_purchase_view/59880370", "UA-2025-06-04-008109-a")</f>
        <v>UA-2025-06-04-008109-a</v>
      </c>
      <c r="C651" s="1" t="s">
        <v>1411</v>
      </c>
      <c r="D651" s="1" t="s">
        <v>1033</v>
      </c>
      <c r="E651" s="1" t="s">
        <v>1553</v>
      </c>
      <c r="F651" s="1" t="s">
        <v>87</v>
      </c>
      <c r="G651" s="1" t="s">
        <v>2211</v>
      </c>
      <c r="H651" s="1" t="s">
        <v>630</v>
      </c>
      <c r="I651" s="1" t="s">
        <v>1132</v>
      </c>
      <c r="J651" s="6">
        <v>10000</v>
      </c>
      <c r="K651" s="5">
        <v>45807</v>
      </c>
      <c r="L651" s="7">
        <v>46022</v>
      </c>
    </row>
    <row r="652" spans="1:12" hidden="1" x14ac:dyDescent="0.25">
      <c r="A652" s="4">
        <v>646</v>
      </c>
      <c r="B652" s="2" t="str">
        <f>HYPERLINK("https://my.zakupivli.pro/remote/dispatcher/state_purchase_view/59876588", "UA-2025-06-04-006468-a")</f>
        <v>UA-2025-06-04-006468-a</v>
      </c>
      <c r="C652" s="1" t="s">
        <v>52</v>
      </c>
      <c r="D652" s="1" t="s">
        <v>286</v>
      </c>
      <c r="E652" s="1" t="s">
        <v>1553</v>
      </c>
      <c r="F652" s="1" t="s">
        <v>87</v>
      </c>
      <c r="G652" s="1" t="s">
        <v>1623</v>
      </c>
      <c r="H652" s="1" t="s">
        <v>579</v>
      </c>
      <c r="I652" s="1" t="s">
        <v>395</v>
      </c>
      <c r="J652" s="6">
        <v>20000</v>
      </c>
      <c r="K652" s="5">
        <v>45810</v>
      </c>
      <c r="L652" s="7">
        <v>46022</v>
      </c>
    </row>
    <row r="653" spans="1:12" hidden="1" x14ac:dyDescent="0.25">
      <c r="A653" s="4">
        <v>647</v>
      </c>
      <c r="B653" s="2" t="str">
        <f>HYPERLINK("https://my.zakupivli.pro/remote/dispatcher/state_purchase_view/59876406", "UA-2025-06-04-006358-a")</f>
        <v>UA-2025-06-04-006358-a</v>
      </c>
      <c r="C653" s="1" t="s">
        <v>1654</v>
      </c>
      <c r="D653" s="1" t="s">
        <v>126</v>
      </c>
      <c r="E653" s="1" t="s">
        <v>1553</v>
      </c>
      <c r="F653" s="1" t="s">
        <v>87</v>
      </c>
      <c r="G653" s="1" t="s">
        <v>1623</v>
      </c>
      <c r="H653" s="1" t="s">
        <v>579</v>
      </c>
      <c r="I653" s="1" t="s">
        <v>402</v>
      </c>
      <c r="J653" s="6">
        <v>10000</v>
      </c>
      <c r="K653" s="5">
        <v>45810</v>
      </c>
      <c r="L653" s="7">
        <v>46022</v>
      </c>
    </row>
    <row r="654" spans="1:12" hidden="1" x14ac:dyDescent="0.25">
      <c r="A654" s="4">
        <v>648</v>
      </c>
      <c r="B654" s="2" t="str">
        <f>HYPERLINK("https://my.zakupivli.pro/remote/dispatcher/state_purchase_view/59876010", "UA-2025-06-04-006188-a")</f>
        <v>UA-2025-06-04-006188-a</v>
      </c>
      <c r="C654" s="1" t="s">
        <v>1634</v>
      </c>
      <c r="D654" s="1" t="s">
        <v>896</v>
      </c>
      <c r="E654" s="1" t="s">
        <v>1553</v>
      </c>
      <c r="F654" s="1" t="s">
        <v>87</v>
      </c>
      <c r="G654" s="1" t="s">
        <v>1551</v>
      </c>
      <c r="H654" s="1" t="s">
        <v>536</v>
      </c>
      <c r="I654" s="1" t="s">
        <v>404</v>
      </c>
      <c r="J654" s="6">
        <v>925</v>
      </c>
      <c r="K654" s="5">
        <v>45812</v>
      </c>
      <c r="L654" s="7">
        <v>46022</v>
      </c>
    </row>
    <row r="655" spans="1:12" hidden="1" x14ac:dyDescent="0.25">
      <c r="A655" s="4">
        <v>649</v>
      </c>
      <c r="B655" s="2" t="str">
        <f>HYPERLINK("https://my.zakupivli.pro/remote/dispatcher/state_purchase_view/59821324", "UA-2025-06-02-009628-a")</f>
        <v>UA-2025-06-02-009628-a</v>
      </c>
      <c r="C655" s="1" t="s">
        <v>1391</v>
      </c>
      <c r="D655" s="1" t="s">
        <v>860</v>
      </c>
      <c r="E655" s="1" t="s">
        <v>1553</v>
      </c>
      <c r="F655" s="1" t="s">
        <v>87</v>
      </c>
      <c r="G655" s="1" t="s">
        <v>2163</v>
      </c>
      <c r="H655" s="1" t="s">
        <v>973</v>
      </c>
      <c r="I655" s="1" t="s">
        <v>468</v>
      </c>
      <c r="J655" s="6">
        <v>272563.24</v>
      </c>
      <c r="K655" s="5">
        <v>45831</v>
      </c>
      <c r="L655" s="7">
        <v>45874</v>
      </c>
    </row>
    <row r="656" spans="1:12" hidden="1" x14ac:dyDescent="0.25">
      <c r="A656" s="4">
        <v>650</v>
      </c>
      <c r="B656" s="2" t="str">
        <f>HYPERLINK("https://my.zakupivli.pro/remote/dispatcher/state_purchase_view/59817630", "UA-2025-06-02-007973-a")</f>
        <v>UA-2025-06-02-007973-a</v>
      </c>
      <c r="C656" s="1" t="s">
        <v>1651</v>
      </c>
      <c r="D656" s="1" t="s">
        <v>858</v>
      </c>
      <c r="E656" s="1" t="s">
        <v>1553</v>
      </c>
      <c r="F656" s="1" t="s">
        <v>87</v>
      </c>
      <c r="G656" s="1" t="s">
        <v>2204</v>
      </c>
      <c r="H656" s="1" t="s">
        <v>798</v>
      </c>
      <c r="I656" s="1" t="s">
        <v>490</v>
      </c>
      <c r="J656" s="6">
        <v>235999.52</v>
      </c>
      <c r="K656" s="5">
        <v>45832</v>
      </c>
      <c r="L656" s="7">
        <v>45902</v>
      </c>
    </row>
    <row r="657" spans="1:12" hidden="1" x14ac:dyDescent="0.25">
      <c r="A657" s="4">
        <v>651</v>
      </c>
      <c r="B657" s="2" t="str">
        <f>HYPERLINK("https://my.zakupivli.pro/remote/dispatcher/state_purchase_view/59790109", "UA-2025-05-30-006211-a")</f>
        <v>UA-2025-05-30-006211-a</v>
      </c>
      <c r="C657" s="1" t="s">
        <v>1452</v>
      </c>
      <c r="D657" s="1" t="s">
        <v>1058</v>
      </c>
      <c r="E657" s="1" t="s">
        <v>1553</v>
      </c>
      <c r="F657" s="1" t="s">
        <v>87</v>
      </c>
      <c r="G657" s="1" t="s">
        <v>1762</v>
      </c>
      <c r="H657" s="1" t="s">
        <v>821</v>
      </c>
      <c r="I657" s="1" t="s">
        <v>390</v>
      </c>
      <c r="J657" s="6">
        <v>46929.91</v>
      </c>
      <c r="K657" s="5">
        <v>45807</v>
      </c>
      <c r="L657" s="7">
        <v>46022</v>
      </c>
    </row>
    <row r="658" spans="1:12" hidden="1" x14ac:dyDescent="0.25">
      <c r="A658" s="4">
        <v>652</v>
      </c>
      <c r="B658" s="2" t="str">
        <f>HYPERLINK("https://my.zakupivli.pro/remote/dispatcher/state_purchase_view/59788583", "UA-2025-05-30-005548-a")</f>
        <v>UA-2025-05-30-005548-a</v>
      </c>
      <c r="C658" s="1" t="s">
        <v>1837</v>
      </c>
      <c r="D658" s="1" t="s">
        <v>1075</v>
      </c>
      <c r="E658" s="1" t="s">
        <v>1553</v>
      </c>
      <c r="F658" s="1" t="s">
        <v>87</v>
      </c>
      <c r="G658" s="1" t="s">
        <v>1772</v>
      </c>
      <c r="H658" s="1" t="s">
        <v>796</v>
      </c>
      <c r="I658" s="1" t="s">
        <v>389</v>
      </c>
      <c r="J658" s="6">
        <v>97986.18</v>
      </c>
      <c r="K658" s="5">
        <v>45807</v>
      </c>
      <c r="L658" s="7">
        <v>46022</v>
      </c>
    </row>
    <row r="659" spans="1:12" hidden="1" x14ac:dyDescent="0.25">
      <c r="A659" s="4">
        <v>653</v>
      </c>
      <c r="B659" s="2" t="str">
        <f>HYPERLINK("https://my.zakupivli.pro/remote/dispatcher/state_purchase_view/59613401", "UA-2025-05-22-011339-a")</f>
        <v>UA-2025-05-22-011339-a</v>
      </c>
      <c r="C659" s="1" t="s">
        <v>1960</v>
      </c>
      <c r="D659" s="1" t="s">
        <v>1077</v>
      </c>
      <c r="E659" s="1" t="s">
        <v>1553</v>
      </c>
      <c r="F659" s="1" t="s">
        <v>87</v>
      </c>
      <c r="G659" s="1" t="s">
        <v>1763</v>
      </c>
      <c r="H659" s="1" t="s">
        <v>107</v>
      </c>
      <c r="I659" s="1" t="s">
        <v>1989</v>
      </c>
      <c r="J659" s="6">
        <v>5342.58</v>
      </c>
      <c r="K659" s="5">
        <v>45798</v>
      </c>
      <c r="L659" s="7">
        <v>46022</v>
      </c>
    </row>
    <row r="660" spans="1:12" hidden="1" x14ac:dyDescent="0.25">
      <c r="A660" s="4">
        <v>654</v>
      </c>
      <c r="B660" s="2" t="str">
        <f>HYPERLINK("https://my.zakupivli.pro/remote/dispatcher/state_purchase_view/59611631", "UA-2025-05-22-010555-a")</f>
        <v>UA-2025-05-22-010555-a</v>
      </c>
      <c r="C660" s="1" t="s">
        <v>680</v>
      </c>
      <c r="D660" s="1" t="s">
        <v>681</v>
      </c>
      <c r="E660" s="1" t="s">
        <v>1553</v>
      </c>
      <c r="F660" s="1" t="s">
        <v>87</v>
      </c>
      <c r="G660" s="1" t="s">
        <v>1428</v>
      </c>
      <c r="H660" s="1" t="s">
        <v>587</v>
      </c>
      <c r="I660" s="1" t="s">
        <v>393</v>
      </c>
      <c r="J660" s="6">
        <v>44400</v>
      </c>
      <c r="K660" s="5">
        <v>45798</v>
      </c>
      <c r="L660" s="7">
        <v>46022</v>
      </c>
    </row>
    <row r="661" spans="1:12" hidden="1" x14ac:dyDescent="0.25">
      <c r="A661" s="4">
        <v>655</v>
      </c>
      <c r="B661" s="2" t="str">
        <f>HYPERLINK("https://my.zakupivli.pro/remote/dispatcher/state_purchase_view/59600242", "UA-2025-05-22-005298-a")</f>
        <v>UA-2025-05-22-005298-a</v>
      </c>
      <c r="C661" s="1" t="s">
        <v>1802</v>
      </c>
      <c r="D661" s="1" t="s">
        <v>348</v>
      </c>
      <c r="E661" s="1" t="s">
        <v>1553</v>
      </c>
      <c r="F661" s="1" t="s">
        <v>87</v>
      </c>
      <c r="G661" s="1" t="s">
        <v>1428</v>
      </c>
      <c r="H661" s="1" t="s">
        <v>587</v>
      </c>
      <c r="I661" s="1" t="s">
        <v>357</v>
      </c>
      <c r="J661" s="6">
        <v>1240</v>
      </c>
      <c r="K661" s="5">
        <v>45798</v>
      </c>
      <c r="L661" s="7">
        <v>46022</v>
      </c>
    </row>
    <row r="662" spans="1:12" hidden="1" x14ac:dyDescent="0.25">
      <c r="A662" s="4">
        <v>656</v>
      </c>
      <c r="B662" s="2" t="str">
        <f>HYPERLINK("https://my.zakupivli.pro/remote/dispatcher/state_purchase_view/59585535", "UA-2025-05-21-013422-a")</f>
        <v>UA-2025-05-21-013422-a</v>
      </c>
      <c r="C662" s="1" t="s">
        <v>1466</v>
      </c>
      <c r="D662" s="1" t="s">
        <v>347</v>
      </c>
      <c r="E662" s="1" t="s">
        <v>1553</v>
      </c>
      <c r="F662" s="1" t="s">
        <v>87</v>
      </c>
      <c r="G662" s="1" t="s">
        <v>1428</v>
      </c>
      <c r="H662" s="1" t="s">
        <v>587</v>
      </c>
      <c r="I662" s="1" t="s">
        <v>330</v>
      </c>
      <c r="J662" s="6">
        <v>2550</v>
      </c>
      <c r="K662" s="5">
        <v>45797</v>
      </c>
      <c r="L662" s="7">
        <v>46022</v>
      </c>
    </row>
    <row r="663" spans="1:12" hidden="1" x14ac:dyDescent="0.25">
      <c r="A663" s="4">
        <v>657</v>
      </c>
      <c r="B663" s="2" t="str">
        <f>HYPERLINK("https://my.zakupivli.pro/remote/dispatcher/state_purchase_view/59567446", "UA-2025-05-21-005154-a")</f>
        <v>UA-2025-05-21-005154-a</v>
      </c>
      <c r="C663" s="1" t="s">
        <v>1722</v>
      </c>
      <c r="D663" s="1" t="s">
        <v>1151</v>
      </c>
      <c r="E663" s="1" t="s">
        <v>1553</v>
      </c>
      <c r="F663" s="1" t="s">
        <v>87</v>
      </c>
      <c r="G663" s="1" t="s">
        <v>2019</v>
      </c>
      <c r="H663" s="1" t="s">
        <v>433</v>
      </c>
      <c r="I663" s="1" t="s">
        <v>1241</v>
      </c>
      <c r="J663" s="6">
        <v>6420</v>
      </c>
      <c r="K663" s="5">
        <v>45797</v>
      </c>
      <c r="L663" s="7">
        <v>46022</v>
      </c>
    </row>
    <row r="664" spans="1:12" hidden="1" x14ac:dyDescent="0.25">
      <c r="A664" s="4">
        <v>658</v>
      </c>
      <c r="B664" s="2" t="str">
        <f>HYPERLINK("https://my.zakupivli.pro/remote/dispatcher/state_purchase_view/59565439", "UA-2025-05-21-004258-a")</f>
        <v>UA-2025-05-21-004258-a</v>
      </c>
      <c r="C664" s="1" t="s">
        <v>1677</v>
      </c>
      <c r="D664" s="1" t="s">
        <v>1057</v>
      </c>
      <c r="E664" s="1" t="s">
        <v>1553</v>
      </c>
      <c r="F664" s="1" t="s">
        <v>87</v>
      </c>
      <c r="G664" s="1" t="s">
        <v>2105</v>
      </c>
      <c r="H664" s="1" t="s">
        <v>781</v>
      </c>
      <c r="I664" s="1" t="s">
        <v>352</v>
      </c>
      <c r="J664" s="6">
        <v>2832</v>
      </c>
      <c r="K664" s="5">
        <v>45797</v>
      </c>
      <c r="L664" s="7">
        <v>46022</v>
      </c>
    </row>
    <row r="665" spans="1:12" hidden="1" x14ac:dyDescent="0.25">
      <c r="A665" s="4">
        <v>659</v>
      </c>
      <c r="B665" s="2" t="str">
        <f>HYPERLINK("https://my.zakupivli.pro/remote/dispatcher/state_purchase_view/59563852", "UA-2025-05-21-003480-a")</f>
        <v>UA-2025-05-21-003480-a</v>
      </c>
      <c r="C665" s="1" t="s">
        <v>2048</v>
      </c>
      <c r="D665" s="1" t="s">
        <v>887</v>
      </c>
      <c r="E665" s="1" t="s">
        <v>1553</v>
      </c>
      <c r="F665" s="1" t="s">
        <v>87</v>
      </c>
      <c r="G665" s="1" t="s">
        <v>1623</v>
      </c>
      <c r="H665" s="1" t="s">
        <v>579</v>
      </c>
      <c r="I665" s="1" t="s">
        <v>339</v>
      </c>
      <c r="J665" s="6">
        <v>10347</v>
      </c>
      <c r="K665" s="5">
        <v>45796</v>
      </c>
      <c r="L665" s="7">
        <v>46022</v>
      </c>
    </row>
    <row r="666" spans="1:12" hidden="1" x14ac:dyDescent="0.25">
      <c r="A666" s="4">
        <v>660</v>
      </c>
      <c r="B666" s="2" t="str">
        <f>HYPERLINK("https://my.zakupivli.pro/remote/dispatcher/state_purchase_view/59546377", "UA-2025-05-20-010699-a")</f>
        <v>UA-2025-05-20-010699-a</v>
      </c>
      <c r="C666" s="1" t="s">
        <v>1961</v>
      </c>
      <c r="D666" s="1" t="s">
        <v>1053</v>
      </c>
      <c r="E666" s="1" t="s">
        <v>1553</v>
      </c>
      <c r="F666" s="1" t="s">
        <v>87</v>
      </c>
      <c r="G666" s="1" t="s">
        <v>1742</v>
      </c>
      <c r="H666" s="1" t="s">
        <v>547</v>
      </c>
      <c r="I666" s="1" t="s">
        <v>250</v>
      </c>
      <c r="J666" s="6">
        <v>82220</v>
      </c>
      <c r="K666" s="5">
        <v>45796</v>
      </c>
      <c r="L666" s="7">
        <v>46022</v>
      </c>
    </row>
    <row r="667" spans="1:12" hidden="1" x14ac:dyDescent="0.25">
      <c r="A667" s="4">
        <v>661</v>
      </c>
      <c r="B667" s="2" t="str">
        <f>HYPERLINK("https://my.zakupivli.pro/remote/dispatcher/state_purchase_view/59499693", "UA-2025-05-19-004213-a")</f>
        <v>UA-2025-05-19-004213-a</v>
      </c>
      <c r="C667" s="1" t="s">
        <v>1912</v>
      </c>
      <c r="D667" s="1" t="s">
        <v>1276</v>
      </c>
      <c r="E667" s="1" t="s">
        <v>1553</v>
      </c>
      <c r="F667" s="1" t="s">
        <v>87</v>
      </c>
      <c r="G667" s="1" t="s">
        <v>1762</v>
      </c>
      <c r="H667" s="1" t="s">
        <v>821</v>
      </c>
      <c r="I667" s="1" t="s">
        <v>1215</v>
      </c>
      <c r="J667" s="6">
        <v>36463.199999999997</v>
      </c>
      <c r="K667" s="5">
        <v>45796</v>
      </c>
      <c r="L667" s="7">
        <v>46022</v>
      </c>
    </row>
    <row r="668" spans="1:12" hidden="1" x14ac:dyDescent="0.25">
      <c r="A668" s="4">
        <v>662</v>
      </c>
      <c r="B668" s="2" t="str">
        <f>HYPERLINK("https://my.zakupivli.pro/remote/dispatcher/state_purchase_view/59389739", "UA-2025-05-13-010187-a")</f>
        <v>UA-2025-05-13-010187-a</v>
      </c>
      <c r="C668" s="1" t="s">
        <v>1949</v>
      </c>
      <c r="D668" s="1" t="s">
        <v>1300</v>
      </c>
      <c r="E668" s="1" t="s">
        <v>1553</v>
      </c>
      <c r="F668" s="1" t="s">
        <v>87</v>
      </c>
      <c r="G668" s="1" t="s">
        <v>2137</v>
      </c>
      <c r="H668" s="1" t="s">
        <v>836</v>
      </c>
      <c r="I668" s="1" t="s">
        <v>785</v>
      </c>
      <c r="J668" s="6">
        <v>6000</v>
      </c>
      <c r="K668" s="5">
        <v>45789</v>
      </c>
      <c r="L668" s="7">
        <v>46022</v>
      </c>
    </row>
    <row r="669" spans="1:12" hidden="1" x14ac:dyDescent="0.25">
      <c r="A669" s="4">
        <v>663</v>
      </c>
      <c r="B669" s="2" t="str">
        <f>HYPERLINK("https://my.zakupivli.pro/remote/dispatcher/state_purchase_view/59388971", "UA-2025-05-13-009847-a")</f>
        <v>UA-2025-05-13-009847-a</v>
      </c>
      <c r="C669" s="1" t="s">
        <v>1466</v>
      </c>
      <c r="D669" s="1" t="s">
        <v>347</v>
      </c>
      <c r="E669" s="1" t="s">
        <v>1553</v>
      </c>
      <c r="F669" s="1" t="s">
        <v>87</v>
      </c>
      <c r="G669" s="1" t="s">
        <v>1479</v>
      </c>
      <c r="H669" s="1" t="s">
        <v>794</v>
      </c>
      <c r="I669" s="1" t="s">
        <v>1317</v>
      </c>
      <c r="J669" s="6">
        <v>14750</v>
      </c>
      <c r="K669" s="5">
        <v>45789</v>
      </c>
      <c r="L669" s="7">
        <v>46022</v>
      </c>
    </row>
    <row r="670" spans="1:12" hidden="1" x14ac:dyDescent="0.25">
      <c r="A670" s="4">
        <v>664</v>
      </c>
      <c r="B670" s="2" t="str">
        <f>HYPERLINK("https://my.zakupivli.pro/remote/dispatcher/state_purchase_view/59356296", "UA-2025-05-12-009703-a")</f>
        <v>UA-2025-05-12-009703-a</v>
      </c>
      <c r="C670" s="1" t="s">
        <v>2055</v>
      </c>
      <c r="D670" s="1" t="s">
        <v>1223</v>
      </c>
      <c r="E670" s="1" t="s">
        <v>1553</v>
      </c>
      <c r="F670" s="1" t="s">
        <v>87</v>
      </c>
      <c r="G670" s="1" t="s">
        <v>1372</v>
      </c>
      <c r="H670" s="1" t="s">
        <v>385</v>
      </c>
      <c r="I670" s="1" t="s">
        <v>79</v>
      </c>
      <c r="J670" s="6">
        <v>7438</v>
      </c>
      <c r="K670" s="5">
        <v>45789</v>
      </c>
      <c r="L670" s="7">
        <v>46022</v>
      </c>
    </row>
    <row r="671" spans="1:12" hidden="1" x14ac:dyDescent="0.25">
      <c r="A671" s="4">
        <v>665</v>
      </c>
      <c r="B671" s="2" t="str">
        <f>HYPERLINK("https://my.zakupivli.pro/remote/dispatcher/state_purchase_view/59343625", "UA-2025-05-12-003951-a")</f>
        <v>UA-2025-05-12-003951-a</v>
      </c>
      <c r="C671" s="1" t="s">
        <v>1603</v>
      </c>
      <c r="D671" s="1" t="s">
        <v>1034</v>
      </c>
      <c r="E671" s="1" t="s">
        <v>1553</v>
      </c>
      <c r="F671" s="1" t="s">
        <v>87</v>
      </c>
      <c r="G671" s="1" t="s">
        <v>1623</v>
      </c>
      <c r="H671" s="1" t="s">
        <v>579</v>
      </c>
      <c r="I671" s="1" t="s">
        <v>343</v>
      </c>
      <c r="J671" s="6">
        <v>5165</v>
      </c>
      <c r="K671" s="5">
        <v>45789</v>
      </c>
      <c r="L671" s="7">
        <v>46022</v>
      </c>
    </row>
    <row r="672" spans="1:12" hidden="1" x14ac:dyDescent="0.25">
      <c r="A672" s="4">
        <v>666</v>
      </c>
      <c r="B672" s="2" t="str">
        <f>HYPERLINK("https://my.zakupivli.pro/remote/dispatcher/state_purchase_view/59343055", "UA-2025-05-12-003713-a")</f>
        <v>UA-2025-05-12-003713-a</v>
      </c>
      <c r="C672" s="1" t="s">
        <v>1444</v>
      </c>
      <c r="D672" s="1" t="s">
        <v>1283</v>
      </c>
      <c r="E672" s="1" t="s">
        <v>1553</v>
      </c>
      <c r="F672" s="1" t="s">
        <v>87</v>
      </c>
      <c r="G672" s="1" t="s">
        <v>1762</v>
      </c>
      <c r="H672" s="1" t="s">
        <v>821</v>
      </c>
      <c r="I672" s="1" t="s">
        <v>305</v>
      </c>
      <c r="J672" s="6">
        <v>18445.32</v>
      </c>
      <c r="K672" s="5">
        <v>45789</v>
      </c>
      <c r="L672" s="7">
        <v>46022</v>
      </c>
    </row>
    <row r="673" spans="1:12" hidden="1" x14ac:dyDescent="0.25">
      <c r="A673" s="4">
        <v>667</v>
      </c>
      <c r="B673" s="2" t="str">
        <f>HYPERLINK("https://my.zakupivli.pro/remote/dispatcher/state_purchase_view/59341175", "UA-2025-05-12-002882-a")</f>
        <v>UA-2025-05-12-002882-a</v>
      </c>
      <c r="C673" s="1" t="s">
        <v>1826</v>
      </c>
      <c r="D673" s="1" t="s">
        <v>1261</v>
      </c>
      <c r="E673" s="1" t="s">
        <v>1553</v>
      </c>
      <c r="F673" s="1" t="s">
        <v>87</v>
      </c>
      <c r="G673" s="1" t="s">
        <v>2164</v>
      </c>
      <c r="H673" s="1" t="s">
        <v>808</v>
      </c>
      <c r="I673" s="1" t="s">
        <v>1757</v>
      </c>
      <c r="J673" s="6">
        <v>936</v>
      </c>
      <c r="K673" s="5">
        <v>45789</v>
      </c>
      <c r="L673" s="7">
        <v>46022</v>
      </c>
    </row>
    <row r="674" spans="1:12" hidden="1" x14ac:dyDescent="0.25">
      <c r="A674" s="4">
        <v>668</v>
      </c>
      <c r="B674" s="2" t="str">
        <f>HYPERLINK("https://my.zakupivli.pro/remote/dispatcher/state_purchase_view/59298069", "UA-2025-05-08-012822-a")</f>
        <v>UA-2025-05-08-012822-a</v>
      </c>
      <c r="C674" s="1" t="s">
        <v>1363</v>
      </c>
      <c r="D674" s="1" t="s">
        <v>899</v>
      </c>
      <c r="E674" s="1" t="s">
        <v>1553</v>
      </c>
      <c r="F674" s="1" t="s">
        <v>87</v>
      </c>
      <c r="G674" s="1" t="s">
        <v>2018</v>
      </c>
      <c r="H674" s="1" t="s">
        <v>611</v>
      </c>
      <c r="I674" s="1" t="s">
        <v>325</v>
      </c>
      <c r="J674" s="6">
        <v>31505</v>
      </c>
      <c r="K674" s="5">
        <v>45784</v>
      </c>
      <c r="L674" s="7">
        <v>46022</v>
      </c>
    </row>
    <row r="675" spans="1:12" hidden="1" x14ac:dyDescent="0.25">
      <c r="A675" s="4">
        <v>669</v>
      </c>
      <c r="B675" s="2" t="str">
        <f>HYPERLINK("https://my.zakupivli.pro/remote/dispatcher/state_purchase_view/59297315", "UA-2025-05-08-012456-a")</f>
        <v>UA-2025-05-08-012456-a</v>
      </c>
      <c r="C675" s="1" t="s">
        <v>1481</v>
      </c>
      <c r="D675" s="1" t="s">
        <v>342</v>
      </c>
      <c r="E675" s="1" t="s">
        <v>1553</v>
      </c>
      <c r="F675" s="1" t="s">
        <v>87</v>
      </c>
      <c r="G675" s="1" t="s">
        <v>1623</v>
      </c>
      <c r="H675" s="1" t="s">
        <v>579</v>
      </c>
      <c r="I675" s="1" t="s">
        <v>322</v>
      </c>
      <c r="J675" s="6">
        <v>2460</v>
      </c>
      <c r="K675" s="5">
        <v>45784</v>
      </c>
      <c r="L675" s="7">
        <v>46022</v>
      </c>
    </row>
    <row r="676" spans="1:12" hidden="1" x14ac:dyDescent="0.25">
      <c r="A676" s="4">
        <v>670</v>
      </c>
      <c r="B676" s="2" t="str">
        <f>HYPERLINK("https://my.zakupivli.pro/remote/dispatcher/state_purchase_view/59296716", "UA-2025-05-08-012234-a")</f>
        <v>UA-2025-05-08-012234-a</v>
      </c>
      <c r="C676" s="1" t="s">
        <v>1985</v>
      </c>
      <c r="D676" s="1" t="s">
        <v>1303</v>
      </c>
      <c r="E676" s="1" t="s">
        <v>1553</v>
      </c>
      <c r="F676" s="1" t="s">
        <v>87</v>
      </c>
      <c r="G676" s="1" t="s">
        <v>1687</v>
      </c>
      <c r="H676" s="1" t="s">
        <v>521</v>
      </c>
      <c r="I676" s="1" t="s">
        <v>597</v>
      </c>
      <c r="J676" s="6">
        <v>3385</v>
      </c>
      <c r="K676" s="5">
        <v>45784</v>
      </c>
      <c r="L676" s="7">
        <v>46022</v>
      </c>
    </row>
    <row r="677" spans="1:12" hidden="1" x14ac:dyDescent="0.25">
      <c r="A677" s="4">
        <v>671</v>
      </c>
      <c r="B677" s="2" t="str">
        <f>HYPERLINK("https://my.zakupivli.pro/remote/dispatcher/state_purchase_view/59161668", "UA-2025-05-05-003588-a")</f>
        <v>UA-2025-05-05-003588-a</v>
      </c>
      <c r="C677" s="1" t="s">
        <v>1960</v>
      </c>
      <c r="D677" s="1" t="s">
        <v>1077</v>
      </c>
      <c r="E677" s="1" t="s">
        <v>1553</v>
      </c>
      <c r="F677" s="1" t="s">
        <v>87</v>
      </c>
      <c r="G677" s="1" t="s">
        <v>1763</v>
      </c>
      <c r="H677" s="1" t="s">
        <v>107</v>
      </c>
      <c r="I677" s="1" t="s">
        <v>1990</v>
      </c>
      <c r="J677" s="6">
        <v>13884.44</v>
      </c>
      <c r="K677" s="5">
        <v>45782</v>
      </c>
      <c r="L677" s="7">
        <v>46022</v>
      </c>
    </row>
    <row r="678" spans="1:12" hidden="1" x14ac:dyDescent="0.25">
      <c r="A678" s="4">
        <v>672</v>
      </c>
      <c r="B678" s="2" t="str">
        <f>HYPERLINK("https://my.zakupivli.pro/remote/dispatcher/state_purchase_view/59160535", "UA-2025-05-05-003124-a")</f>
        <v>UA-2025-05-05-003124-a</v>
      </c>
      <c r="C678" s="1" t="s">
        <v>1588</v>
      </c>
      <c r="D678" s="1" t="s">
        <v>1026</v>
      </c>
      <c r="E678" s="1" t="s">
        <v>1553</v>
      </c>
      <c r="F678" s="1" t="s">
        <v>87</v>
      </c>
      <c r="G678" s="1" t="s">
        <v>2018</v>
      </c>
      <c r="H678" s="1" t="s">
        <v>611</v>
      </c>
      <c r="I678" s="1" t="s">
        <v>311</v>
      </c>
      <c r="J678" s="6">
        <v>11955</v>
      </c>
      <c r="K678" s="5">
        <v>45778</v>
      </c>
      <c r="L678" s="7">
        <v>46022</v>
      </c>
    </row>
    <row r="679" spans="1:12" hidden="1" x14ac:dyDescent="0.25">
      <c r="A679" s="4">
        <v>673</v>
      </c>
      <c r="B679" s="2" t="str">
        <f>HYPERLINK("https://my.zakupivli.pro/remote/dispatcher/state_purchase_view/59159708", "UA-2025-05-05-002722-a")</f>
        <v>UA-2025-05-05-002722-a</v>
      </c>
      <c r="C679" s="1" t="s">
        <v>1847</v>
      </c>
      <c r="D679" s="1" t="s">
        <v>1329</v>
      </c>
      <c r="E679" s="1" t="s">
        <v>1553</v>
      </c>
      <c r="F679" s="1" t="s">
        <v>87</v>
      </c>
      <c r="G679" s="1" t="s">
        <v>1470</v>
      </c>
      <c r="H679" s="1" t="s">
        <v>863</v>
      </c>
      <c r="I679" s="1" t="s">
        <v>232</v>
      </c>
      <c r="J679" s="6">
        <v>6779.9</v>
      </c>
      <c r="K679" s="5">
        <v>45779</v>
      </c>
      <c r="L679" s="7">
        <v>46022</v>
      </c>
    </row>
    <row r="680" spans="1:12" hidden="1" x14ac:dyDescent="0.25">
      <c r="A680" s="4">
        <v>674</v>
      </c>
      <c r="B680" s="2" t="str">
        <f>HYPERLINK("https://my.zakupivli.pro/remote/dispatcher/state_purchase_view/59116077", "UA-2025-05-01-011248-a")</f>
        <v>UA-2025-05-01-011248-a</v>
      </c>
      <c r="C680" s="1" t="s">
        <v>1873</v>
      </c>
      <c r="D680" s="1" t="s">
        <v>1160</v>
      </c>
      <c r="E680" s="1" t="s">
        <v>1553</v>
      </c>
      <c r="F680" s="1" t="s">
        <v>87</v>
      </c>
      <c r="G680" s="1" t="s">
        <v>1458</v>
      </c>
      <c r="H680" s="1" t="s">
        <v>558</v>
      </c>
      <c r="I680" s="1" t="s">
        <v>372</v>
      </c>
      <c r="J680" s="6">
        <v>76000</v>
      </c>
      <c r="K680" s="5">
        <v>45777</v>
      </c>
      <c r="L680" s="7">
        <v>46022</v>
      </c>
    </row>
    <row r="681" spans="1:12" hidden="1" x14ac:dyDescent="0.25">
      <c r="A681" s="4">
        <v>675</v>
      </c>
      <c r="B681" s="2" t="str">
        <f>HYPERLINK("https://my.zakupivli.pro/remote/dispatcher/state_purchase_view/59115431", "UA-2025-05-01-010961-a")</f>
        <v>UA-2025-05-01-010961-a</v>
      </c>
      <c r="C681" s="1" t="s">
        <v>2040</v>
      </c>
      <c r="D681" s="1" t="s">
        <v>495</v>
      </c>
      <c r="E681" s="1" t="s">
        <v>1553</v>
      </c>
      <c r="F681" s="1" t="s">
        <v>87</v>
      </c>
      <c r="G681" s="1" t="s">
        <v>2147</v>
      </c>
      <c r="H681" s="1" t="s">
        <v>1009</v>
      </c>
      <c r="I681" s="1" t="s">
        <v>544</v>
      </c>
      <c r="J681" s="6">
        <v>96950</v>
      </c>
      <c r="K681" s="5">
        <v>45777</v>
      </c>
      <c r="L681" s="7">
        <v>46022</v>
      </c>
    </row>
    <row r="682" spans="1:12" hidden="1" x14ac:dyDescent="0.25">
      <c r="A682" s="4">
        <v>676</v>
      </c>
      <c r="B682" s="2" t="str">
        <f>HYPERLINK("https://my.zakupivli.pro/remote/dispatcher/state_purchase_view/59058355", "UA-2025-04-29-009702-a")</f>
        <v>UA-2025-04-29-009702-a</v>
      </c>
      <c r="C682" s="1" t="s">
        <v>1602</v>
      </c>
      <c r="D682" s="1" t="s">
        <v>1035</v>
      </c>
      <c r="E682" s="1" t="s">
        <v>1553</v>
      </c>
      <c r="F682" s="1" t="s">
        <v>87</v>
      </c>
      <c r="G682" s="1" t="s">
        <v>1623</v>
      </c>
      <c r="H682" s="1" t="s">
        <v>579</v>
      </c>
      <c r="I682" s="1"/>
      <c r="J682" s="6">
        <v>17425</v>
      </c>
      <c r="K682" s="1" t="s">
        <v>53</v>
      </c>
      <c r="L682" s="1"/>
    </row>
    <row r="683" spans="1:12" hidden="1" x14ac:dyDescent="0.25">
      <c r="A683" s="4">
        <v>677</v>
      </c>
      <c r="B683" s="2" t="str">
        <f>HYPERLINK("https://my.zakupivli.pro/remote/dispatcher/state_purchase_view/59057529", "UA-2025-04-29-009292-a")</f>
        <v>UA-2025-04-29-009292-a</v>
      </c>
      <c r="C683" s="1" t="s">
        <v>1455</v>
      </c>
      <c r="D683" s="1" t="s">
        <v>1204</v>
      </c>
      <c r="E683" s="1" t="s">
        <v>1553</v>
      </c>
      <c r="F683" s="1" t="s">
        <v>87</v>
      </c>
      <c r="G683" s="1" t="s">
        <v>1559</v>
      </c>
      <c r="H683" s="1" t="s">
        <v>864</v>
      </c>
      <c r="I683" s="1" t="s">
        <v>279</v>
      </c>
      <c r="J683" s="6">
        <v>87058.76</v>
      </c>
      <c r="K683" s="5">
        <v>45775</v>
      </c>
      <c r="L683" s="7">
        <v>46022</v>
      </c>
    </row>
    <row r="684" spans="1:12" hidden="1" x14ac:dyDescent="0.25">
      <c r="A684" s="4">
        <v>678</v>
      </c>
      <c r="B684" s="2" t="str">
        <f>HYPERLINK("https://my.zakupivli.pro/remote/dispatcher/state_purchase_view/59056014", "UA-2025-04-29-008574-a")</f>
        <v>UA-2025-04-29-008574-a</v>
      </c>
      <c r="C684" s="1" t="s">
        <v>1503</v>
      </c>
      <c r="D684" s="1" t="s">
        <v>1242</v>
      </c>
      <c r="E684" s="1" t="s">
        <v>1553</v>
      </c>
      <c r="F684" s="1" t="s">
        <v>87</v>
      </c>
      <c r="G684" s="1" t="s">
        <v>1559</v>
      </c>
      <c r="H684" s="1" t="s">
        <v>864</v>
      </c>
      <c r="I684" s="1" t="s">
        <v>278</v>
      </c>
      <c r="J684" s="6">
        <v>54647.24</v>
      </c>
      <c r="K684" s="5">
        <v>45775</v>
      </c>
      <c r="L684" s="7">
        <v>46022</v>
      </c>
    </row>
    <row r="685" spans="1:12" hidden="1" x14ac:dyDescent="0.25">
      <c r="A685" s="4">
        <v>679</v>
      </c>
      <c r="B685" s="2" t="str">
        <f>HYPERLINK("https://my.zakupivli.pro/remote/dispatcher/state_purchase_view/59053246", "UA-2025-04-29-007413-a")</f>
        <v>UA-2025-04-29-007413-a</v>
      </c>
      <c r="C685" s="1" t="s">
        <v>1944</v>
      </c>
      <c r="D685" s="1" t="s">
        <v>1327</v>
      </c>
      <c r="E685" s="1" t="s">
        <v>1553</v>
      </c>
      <c r="F685" s="1" t="s">
        <v>87</v>
      </c>
      <c r="G685" s="1" t="s">
        <v>1469</v>
      </c>
      <c r="H685" s="1" t="s">
        <v>96</v>
      </c>
      <c r="I685" s="1" t="s">
        <v>773</v>
      </c>
      <c r="J685" s="6">
        <v>48000</v>
      </c>
      <c r="K685" s="5">
        <v>45775</v>
      </c>
      <c r="L685" s="7">
        <v>46022</v>
      </c>
    </row>
    <row r="686" spans="1:12" hidden="1" x14ac:dyDescent="0.25">
      <c r="A686" s="4">
        <v>680</v>
      </c>
      <c r="B686" s="2" t="str">
        <f>HYPERLINK("https://my.zakupivli.pro/remote/dispatcher/state_purchase_view/59052424", "UA-2025-04-29-007008-a")</f>
        <v>UA-2025-04-29-007008-a</v>
      </c>
      <c r="C686" s="1" t="s">
        <v>1898</v>
      </c>
      <c r="D686" s="1" t="s">
        <v>1057</v>
      </c>
      <c r="E686" s="1" t="s">
        <v>1553</v>
      </c>
      <c r="F686" s="1" t="s">
        <v>87</v>
      </c>
      <c r="G686" s="1" t="s">
        <v>2105</v>
      </c>
      <c r="H686" s="1" t="s">
        <v>781</v>
      </c>
      <c r="I686" s="1" t="s">
        <v>301</v>
      </c>
      <c r="J686" s="6">
        <v>10399.200000000001</v>
      </c>
      <c r="K686" s="5">
        <v>45776</v>
      </c>
      <c r="L686" s="7">
        <v>46022</v>
      </c>
    </row>
    <row r="687" spans="1:12" hidden="1" x14ac:dyDescent="0.25">
      <c r="A687" s="4">
        <v>681</v>
      </c>
      <c r="B687" s="2" t="str">
        <f>HYPERLINK("https://my.zakupivli.pro/remote/dispatcher/state_purchase_view/59051562", "UA-2025-04-29-006641-a")</f>
        <v>UA-2025-04-29-006641-a</v>
      </c>
      <c r="C687" s="1" t="s">
        <v>1929</v>
      </c>
      <c r="D687" s="1" t="s">
        <v>1075</v>
      </c>
      <c r="E687" s="1" t="s">
        <v>1553</v>
      </c>
      <c r="F687" s="1" t="s">
        <v>87</v>
      </c>
      <c r="G687" s="1" t="s">
        <v>1772</v>
      </c>
      <c r="H687" s="1" t="s">
        <v>796</v>
      </c>
      <c r="I687" s="1" t="s">
        <v>302</v>
      </c>
      <c r="J687" s="6">
        <v>99892.71</v>
      </c>
      <c r="K687" s="5">
        <v>45776</v>
      </c>
      <c r="L687" s="7">
        <v>46022</v>
      </c>
    </row>
    <row r="688" spans="1:12" hidden="1" x14ac:dyDescent="0.25">
      <c r="A688" s="4">
        <v>682</v>
      </c>
      <c r="B688" s="2" t="str">
        <f>HYPERLINK("https://my.zakupivli.pro/remote/dispatcher/state_purchase_view/59043988", "UA-2025-04-29-003360-a")</f>
        <v>UA-2025-04-29-003360-a</v>
      </c>
      <c r="C688" s="1" t="s">
        <v>1913</v>
      </c>
      <c r="D688" s="1" t="s">
        <v>1270</v>
      </c>
      <c r="E688" s="1" t="s">
        <v>1553</v>
      </c>
      <c r="F688" s="1" t="s">
        <v>87</v>
      </c>
      <c r="G688" s="1" t="s">
        <v>2160</v>
      </c>
      <c r="H688" s="1" t="s">
        <v>875</v>
      </c>
      <c r="I688" s="1" t="s">
        <v>170</v>
      </c>
      <c r="J688" s="6">
        <v>25895</v>
      </c>
      <c r="K688" s="5">
        <v>45776</v>
      </c>
      <c r="L688" s="7">
        <v>46022</v>
      </c>
    </row>
    <row r="689" spans="1:12" hidden="1" x14ac:dyDescent="0.25">
      <c r="A689" s="4">
        <v>683</v>
      </c>
      <c r="B689" s="2" t="str">
        <f>HYPERLINK("https://my.zakupivli.pro/remote/dispatcher/state_purchase_view/59042671", "UA-2025-04-29-002760-a")</f>
        <v>UA-2025-04-29-002760-a</v>
      </c>
      <c r="C689" s="1" t="s">
        <v>1971</v>
      </c>
      <c r="D689" s="1" t="s">
        <v>1304</v>
      </c>
      <c r="E689" s="1" t="s">
        <v>1553</v>
      </c>
      <c r="F689" s="1" t="s">
        <v>87</v>
      </c>
      <c r="G689" s="1" t="s">
        <v>1563</v>
      </c>
      <c r="H689" s="1" t="s">
        <v>115</v>
      </c>
      <c r="I689" s="1" t="s">
        <v>1342</v>
      </c>
      <c r="J689" s="6">
        <v>3560</v>
      </c>
      <c r="K689" s="5">
        <v>45776</v>
      </c>
      <c r="L689" s="7">
        <v>46022</v>
      </c>
    </row>
    <row r="690" spans="1:12" hidden="1" x14ac:dyDescent="0.25">
      <c r="A690" s="4">
        <v>684</v>
      </c>
      <c r="B690" s="2" t="str">
        <f>HYPERLINK("https://my.zakupivli.pro/remote/dispatcher/state_purchase_view/59041260", "UA-2025-04-29-002077-a")</f>
        <v>UA-2025-04-29-002077-a</v>
      </c>
      <c r="C690" s="1" t="s">
        <v>2200</v>
      </c>
      <c r="D690" s="1" t="s">
        <v>340</v>
      </c>
      <c r="E690" s="1" t="s">
        <v>1553</v>
      </c>
      <c r="F690" s="1" t="s">
        <v>87</v>
      </c>
      <c r="G690" s="1" t="s">
        <v>2021</v>
      </c>
      <c r="H690" s="1" t="s">
        <v>535</v>
      </c>
      <c r="I690" s="1" t="s">
        <v>296</v>
      </c>
      <c r="J690" s="6">
        <v>4900</v>
      </c>
      <c r="K690" s="5">
        <v>45776</v>
      </c>
      <c r="L690" s="7">
        <v>46022</v>
      </c>
    </row>
    <row r="691" spans="1:12" hidden="1" x14ac:dyDescent="0.25">
      <c r="A691" s="4">
        <v>685</v>
      </c>
      <c r="B691" s="2" t="str">
        <f>HYPERLINK("https://my.zakupivli.pro/remote/dispatcher/state_purchase_view/59040720", "UA-2025-04-29-001819-a")</f>
        <v>UA-2025-04-29-001819-a</v>
      </c>
      <c r="C691" s="1" t="s">
        <v>1811</v>
      </c>
      <c r="D691" s="1" t="s">
        <v>1013</v>
      </c>
      <c r="E691" s="1" t="s">
        <v>1553</v>
      </c>
      <c r="F691" s="1" t="s">
        <v>87</v>
      </c>
      <c r="G691" s="1" t="s">
        <v>2018</v>
      </c>
      <c r="H691" s="1" t="s">
        <v>611</v>
      </c>
      <c r="I691" s="1"/>
      <c r="J691" s="6">
        <v>1026</v>
      </c>
      <c r="K691" s="1" t="s">
        <v>53</v>
      </c>
      <c r="L691" s="1"/>
    </row>
    <row r="692" spans="1:12" hidden="1" x14ac:dyDescent="0.25">
      <c r="A692" s="4">
        <v>686</v>
      </c>
      <c r="B692" s="2" t="str">
        <f>HYPERLINK("https://my.zakupivli.pro/remote/dispatcher/state_purchase_view/59013951", "UA-2025-04-28-002009-a")</f>
        <v>UA-2025-04-28-002009-a</v>
      </c>
      <c r="C692" s="1" t="s">
        <v>1394</v>
      </c>
      <c r="D692" s="1" t="s">
        <v>487</v>
      </c>
      <c r="E692" s="1" t="s">
        <v>1553</v>
      </c>
      <c r="F692" s="1" t="s">
        <v>87</v>
      </c>
      <c r="G692" s="1" t="s">
        <v>2085</v>
      </c>
      <c r="H692" s="1" t="s">
        <v>1009</v>
      </c>
      <c r="I692" s="1" t="s">
        <v>321</v>
      </c>
      <c r="J692" s="6">
        <v>499865.77</v>
      </c>
      <c r="K692" s="5">
        <v>45783</v>
      </c>
      <c r="L692" s="7">
        <v>45999</v>
      </c>
    </row>
    <row r="693" spans="1:12" hidden="1" x14ac:dyDescent="0.25">
      <c r="A693" s="4">
        <v>687</v>
      </c>
      <c r="B693" s="2" t="str">
        <f>HYPERLINK("https://my.zakupivli.pro/remote/dispatcher/state_purchase_view/58961383", "UA-2025-04-24-004019-a")</f>
        <v>UA-2025-04-24-004019-a</v>
      </c>
      <c r="C693" s="1" t="s">
        <v>2293</v>
      </c>
      <c r="D693" s="1" t="s">
        <v>1253</v>
      </c>
      <c r="E693" s="1" t="s">
        <v>1553</v>
      </c>
      <c r="F693" s="1" t="s">
        <v>87</v>
      </c>
      <c r="G693" s="1" t="s">
        <v>1480</v>
      </c>
      <c r="H693" s="1" t="s">
        <v>112</v>
      </c>
      <c r="I693" s="1" t="s">
        <v>1407</v>
      </c>
      <c r="J693" s="6">
        <v>430000</v>
      </c>
      <c r="K693" s="5">
        <v>45828</v>
      </c>
      <c r="L693" s="7">
        <v>45883</v>
      </c>
    </row>
    <row r="694" spans="1:12" hidden="1" x14ac:dyDescent="0.25">
      <c r="A694" s="4">
        <v>688</v>
      </c>
      <c r="B694" s="2" t="str">
        <f>HYPERLINK("https://my.zakupivli.pro/remote/dispatcher/state_purchase_view/58932379", "UA-2025-04-23-004264-a")</f>
        <v>UA-2025-04-23-004264-a</v>
      </c>
      <c r="C694" s="1" t="s">
        <v>1932</v>
      </c>
      <c r="D694" s="1" t="s">
        <v>789</v>
      </c>
      <c r="E694" s="1" t="s">
        <v>1553</v>
      </c>
      <c r="F694" s="1" t="s">
        <v>87</v>
      </c>
      <c r="G694" s="1" t="s">
        <v>1551</v>
      </c>
      <c r="H694" s="1" t="s">
        <v>536</v>
      </c>
      <c r="I694" s="1" t="s">
        <v>287</v>
      </c>
      <c r="J694" s="6">
        <v>873</v>
      </c>
      <c r="K694" s="5">
        <v>45770</v>
      </c>
      <c r="L694" s="7">
        <v>46022</v>
      </c>
    </row>
    <row r="695" spans="1:12" hidden="1" x14ac:dyDescent="0.25">
      <c r="A695" s="4">
        <v>689</v>
      </c>
      <c r="B695" s="2" t="str">
        <f>HYPERLINK("https://my.zakupivli.pro/remote/dispatcher/state_purchase_view/58932053", "UA-2025-04-23-004059-a")</f>
        <v>UA-2025-04-23-004059-a</v>
      </c>
      <c r="C695" s="1" t="s">
        <v>1424</v>
      </c>
      <c r="D695" s="1" t="s">
        <v>1025</v>
      </c>
      <c r="E695" s="1" t="s">
        <v>1553</v>
      </c>
      <c r="F695" s="1" t="s">
        <v>87</v>
      </c>
      <c r="G695" s="1" t="s">
        <v>1623</v>
      </c>
      <c r="H695" s="1" t="s">
        <v>579</v>
      </c>
      <c r="I695" s="1"/>
      <c r="J695" s="6">
        <v>40000</v>
      </c>
      <c r="K695" s="1" t="s">
        <v>53</v>
      </c>
      <c r="L695" s="1"/>
    </row>
    <row r="696" spans="1:12" hidden="1" x14ac:dyDescent="0.25">
      <c r="A696" s="4">
        <v>690</v>
      </c>
      <c r="B696" s="2" t="str">
        <f>HYPERLINK("https://my.zakupivli.pro/remote/dispatcher/state_purchase_view/58931670", "UA-2025-04-23-003933-a")</f>
        <v>UA-2025-04-23-003933-a</v>
      </c>
      <c r="C696" s="1" t="s">
        <v>1650</v>
      </c>
      <c r="D696" s="1" t="s">
        <v>1010</v>
      </c>
      <c r="E696" s="1" t="s">
        <v>1553</v>
      </c>
      <c r="F696" s="1" t="s">
        <v>87</v>
      </c>
      <c r="G696" s="1" t="s">
        <v>1623</v>
      </c>
      <c r="H696" s="1" t="s">
        <v>579</v>
      </c>
      <c r="I696" s="1" t="s">
        <v>294</v>
      </c>
      <c r="J696" s="6">
        <v>40000</v>
      </c>
      <c r="K696" s="5">
        <v>45770</v>
      </c>
      <c r="L696" s="7">
        <v>46022</v>
      </c>
    </row>
    <row r="697" spans="1:12" hidden="1" x14ac:dyDescent="0.25">
      <c r="A697" s="4">
        <v>691</v>
      </c>
      <c r="B697" s="2" t="str">
        <f>HYPERLINK("https://my.zakupivli.pro/remote/dispatcher/state_purchase_view/58931476", "UA-2025-04-23-003801-a")</f>
        <v>UA-2025-04-23-003801-a</v>
      </c>
      <c r="C697" s="1" t="s">
        <v>1812</v>
      </c>
      <c r="D697" s="1" t="s">
        <v>350</v>
      </c>
      <c r="E697" s="1" t="s">
        <v>1553</v>
      </c>
      <c r="F697" s="1" t="s">
        <v>87</v>
      </c>
      <c r="G697" s="1" t="s">
        <v>1623</v>
      </c>
      <c r="H697" s="1" t="s">
        <v>579</v>
      </c>
      <c r="I697" s="1" t="s">
        <v>293</v>
      </c>
      <c r="J697" s="6">
        <v>10000</v>
      </c>
      <c r="K697" s="5">
        <v>45770</v>
      </c>
      <c r="L697" s="7">
        <v>46022</v>
      </c>
    </row>
    <row r="698" spans="1:12" hidden="1" x14ac:dyDescent="0.25">
      <c r="A698" s="4">
        <v>692</v>
      </c>
      <c r="B698" s="2" t="str">
        <f>HYPERLINK("https://my.zakupivli.pro/remote/dispatcher/state_purchase_view/58931046", "UA-2025-04-23-003672-a")</f>
        <v>UA-2025-04-23-003672-a</v>
      </c>
      <c r="C698" s="1" t="s">
        <v>1464</v>
      </c>
      <c r="D698" s="1" t="s">
        <v>234</v>
      </c>
      <c r="E698" s="1" t="s">
        <v>1553</v>
      </c>
      <c r="F698" s="1" t="s">
        <v>87</v>
      </c>
      <c r="G698" s="1" t="s">
        <v>1623</v>
      </c>
      <c r="H698" s="1" t="s">
        <v>579</v>
      </c>
      <c r="I698" s="1" t="s">
        <v>291</v>
      </c>
      <c r="J698" s="6">
        <v>60000</v>
      </c>
      <c r="K698" s="5">
        <v>45770</v>
      </c>
      <c r="L698" s="7">
        <v>46022</v>
      </c>
    </row>
    <row r="699" spans="1:12" hidden="1" x14ac:dyDescent="0.25">
      <c r="A699" s="4">
        <v>693</v>
      </c>
      <c r="B699" s="2" t="str">
        <f>HYPERLINK("https://my.zakupivli.pro/remote/dispatcher/state_purchase_view/58930208", "UA-2025-04-23-003256-a")</f>
        <v>UA-2025-04-23-003256-a</v>
      </c>
      <c r="C699" s="1" t="s">
        <v>1988</v>
      </c>
      <c r="D699" s="1" t="s">
        <v>885</v>
      </c>
      <c r="E699" s="1" t="s">
        <v>1553</v>
      </c>
      <c r="F699" s="1" t="s">
        <v>87</v>
      </c>
      <c r="G699" s="1" t="s">
        <v>2103</v>
      </c>
      <c r="H699" s="1" t="s">
        <v>812</v>
      </c>
      <c r="I699" s="1" t="s">
        <v>1279</v>
      </c>
      <c r="J699" s="6">
        <v>52752</v>
      </c>
      <c r="K699" s="5">
        <v>45770</v>
      </c>
      <c r="L699" s="7">
        <v>46022</v>
      </c>
    </row>
    <row r="700" spans="1:12" hidden="1" x14ac:dyDescent="0.25">
      <c r="A700" s="4">
        <v>694</v>
      </c>
      <c r="B700" s="2" t="str">
        <f>HYPERLINK("https://my.zakupivli.pro/remote/dispatcher/state_purchase_view/58928885", "UA-2025-04-23-002674-a")</f>
        <v>UA-2025-04-23-002674-a</v>
      </c>
      <c r="C700" s="1" t="s">
        <v>1606</v>
      </c>
      <c r="D700" s="1" t="s">
        <v>901</v>
      </c>
      <c r="E700" s="1" t="s">
        <v>1553</v>
      </c>
      <c r="F700" s="1" t="s">
        <v>87</v>
      </c>
      <c r="G700" s="1" t="s">
        <v>2103</v>
      </c>
      <c r="H700" s="1" t="s">
        <v>812</v>
      </c>
      <c r="I700" s="1" t="s">
        <v>1280</v>
      </c>
      <c r="J700" s="6">
        <v>30948</v>
      </c>
      <c r="K700" s="5">
        <v>45770</v>
      </c>
      <c r="L700" s="7">
        <v>46022</v>
      </c>
    </row>
    <row r="701" spans="1:12" hidden="1" x14ac:dyDescent="0.25">
      <c r="A701" s="4">
        <v>695</v>
      </c>
      <c r="B701" s="2" t="str">
        <f>HYPERLINK("https://my.zakupivli.pro/remote/dispatcher/state_purchase_view/58925702", "UA-2025-04-23-001206-a")</f>
        <v>UA-2025-04-23-001206-a</v>
      </c>
      <c r="C701" s="1" t="s">
        <v>1678</v>
      </c>
      <c r="D701" s="1" t="s">
        <v>1070</v>
      </c>
      <c r="E701" s="1" t="s">
        <v>1553</v>
      </c>
      <c r="F701" s="1" t="s">
        <v>87</v>
      </c>
      <c r="G701" s="1" t="s">
        <v>2067</v>
      </c>
      <c r="H701" s="1" t="s">
        <v>569</v>
      </c>
      <c r="I701" s="1" t="s">
        <v>73</v>
      </c>
      <c r="J701" s="6">
        <v>80734</v>
      </c>
      <c r="K701" s="5">
        <v>45770</v>
      </c>
      <c r="L701" s="7">
        <v>46022</v>
      </c>
    </row>
    <row r="702" spans="1:12" hidden="1" x14ac:dyDescent="0.25">
      <c r="A702" s="4">
        <v>696</v>
      </c>
      <c r="B702" s="2" t="str">
        <f>HYPERLINK("https://my.zakupivli.pro/remote/dispatcher/state_purchase_view/58892435", "UA-2025-04-21-005265-a")</f>
        <v>UA-2025-04-21-005265-a</v>
      </c>
      <c r="C702" s="1" t="s">
        <v>1442</v>
      </c>
      <c r="D702" s="1" t="s">
        <v>1254</v>
      </c>
      <c r="E702" s="1" t="s">
        <v>1553</v>
      </c>
      <c r="F702" s="1" t="s">
        <v>87</v>
      </c>
      <c r="G702" s="1" t="s">
        <v>1471</v>
      </c>
      <c r="H702" s="1" t="s">
        <v>863</v>
      </c>
      <c r="I702" s="1" t="s">
        <v>349</v>
      </c>
      <c r="J702" s="6">
        <v>1794268.8</v>
      </c>
      <c r="K702" s="5">
        <v>45790</v>
      </c>
      <c r="L702" s="7">
        <v>46112</v>
      </c>
    </row>
    <row r="703" spans="1:12" hidden="1" x14ac:dyDescent="0.25">
      <c r="A703" s="4">
        <v>697</v>
      </c>
      <c r="B703" s="2" t="str">
        <f>HYPERLINK("https://my.zakupivli.pro/remote/dispatcher/state_purchase_view/58875244", "UA-2025-04-18-008071-a")</f>
        <v>UA-2025-04-18-008071-a</v>
      </c>
      <c r="C703" s="1" t="s">
        <v>1972</v>
      </c>
      <c r="D703" s="1" t="s">
        <v>1304</v>
      </c>
      <c r="E703" s="1" t="s">
        <v>1553</v>
      </c>
      <c r="F703" s="1" t="s">
        <v>87</v>
      </c>
      <c r="G703" s="1" t="s">
        <v>1563</v>
      </c>
      <c r="H703" s="1" t="s">
        <v>115</v>
      </c>
      <c r="I703" s="1" t="s">
        <v>1126</v>
      </c>
      <c r="J703" s="6">
        <v>445</v>
      </c>
      <c r="K703" s="5">
        <v>45764</v>
      </c>
      <c r="L703" s="7">
        <v>46022</v>
      </c>
    </row>
    <row r="704" spans="1:12" hidden="1" x14ac:dyDescent="0.25">
      <c r="A704" s="4">
        <v>698</v>
      </c>
      <c r="B704" s="2" t="str">
        <f>HYPERLINK("https://my.zakupivli.pro/remote/dispatcher/state_purchase_view/58875164", "UA-2025-04-18-008014-a")</f>
        <v>UA-2025-04-18-008014-a</v>
      </c>
      <c r="C704" s="1" t="s">
        <v>1975</v>
      </c>
      <c r="D704" s="1" t="s">
        <v>1304</v>
      </c>
      <c r="E704" s="1" t="s">
        <v>1553</v>
      </c>
      <c r="F704" s="1" t="s">
        <v>87</v>
      </c>
      <c r="G704" s="1" t="s">
        <v>1563</v>
      </c>
      <c r="H704" s="1" t="s">
        <v>115</v>
      </c>
      <c r="I704" s="1" t="s">
        <v>1125</v>
      </c>
      <c r="J704" s="6">
        <v>3560</v>
      </c>
      <c r="K704" s="5">
        <v>45764</v>
      </c>
      <c r="L704" s="7">
        <v>46022</v>
      </c>
    </row>
    <row r="705" spans="1:12" hidden="1" x14ac:dyDescent="0.25">
      <c r="A705" s="4">
        <v>699</v>
      </c>
      <c r="B705" s="2" t="str">
        <f>HYPERLINK("https://my.zakupivli.pro/remote/dispatcher/state_purchase_view/58874952", "UA-2025-04-18-007939-a")</f>
        <v>UA-2025-04-18-007939-a</v>
      </c>
      <c r="C705" s="1" t="s">
        <v>1973</v>
      </c>
      <c r="D705" s="1" t="s">
        <v>1304</v>
      </c>
      <c r="E705" s="1" t="s">
        <v>1553</v>
      </c>
      <c r="F705" s="1" t="s">
        <v>87</v>
      </c>
      <c r="G705" s="1" t="s">
        <v>1563</v>
      </c>
      <c r="H705" s="1" t="s">
        <v>115</v>
      </c>
      <c r="I705" s="1" t="s">
        <v>1135</v>
      </c>
      <c r="J705" s="6">
        <v>890</v>
      </c>
      <c r="K705" s="5">
        <v>45764</v>
      </c>
      <c r="L705" s="7">
        <v>46022</v>
      </c>
    </row>
    <row r="706" spans="1:12" hidden="1" x14ac:dyDescent="0.25">
      <c r="A706" s="4">
        <v>700</v>
      </c>
      <c r="B706" s="2" t="str">
        <f>HYPERLINK("https://my.zakupivli.pro/remote/dispatcher/state_purchase_view/58874751", "UA-2025-04-18-007860-a")</f>
        <v>UA-2025-04-18-007860-a</v>
      </c>
      <c r="C706" s="1" t="s">
        <v>1977</v>
      </c>
      <c r="D706" s="1" t="s">
        <v>1304</v>
      </c>
      <c r="E706" s="1" t="s">
        <v>1553</v>
      </c>
      <c r="F706" s="1" t="s">
        <v>87</v>
      </c>
      <c r="G706" s="1" t="s">
        <v>1563</v>
      </c>
      <c r="H706" s="1" t="s">
        <v>115</v>
      </c>
      <c r="I706" s="1" t="s">
        <v>1130</v>
      </c>
      <c r="J706" s="6">
        <v>3560</v>
      </c>
      <c r="K706" s="5">
        <v>45764</v>
      </c>
      <c r="L706" s="7">
        <v>46022</v>
      </c>
    </row>
    <row r="707" spans="1:12" hidden="1" x14ac:dyDescent="0.25">
      <c r="A707" s="4">
        <v>701</v>
      </c>
      <c r="B707" s="2" t="str">
        <f>HYPERLINK("https://my.zakupivli.pro/remote/dispatcher/state_purchase_view/58874617", "UA-2025-04-18-007770-a")</f>
        <v>UA-2025-04-18-007770-a</v>
      </c>
      <c r="C707" s="1" t="s">
        <v>1488</v>
      </c>
      <c r="D707" s="1" t="s">
        <v>1264</v>
      </c>
      <c r="E707" s="1" t="s">
        <v>1553</v>
      </c>
      <c r="F707" s="1" t="s">
        <v>87</v>
      </c>
      <c r="G707" s="1" t="s">
        <v>2152</v>
      </c>
      <c r="H707" s="1" t="s">
        <v>890</v>
      </c>
      <c r="I707" s="1" t="s">
        <v>264</v>
      </c>
      <c r="J707" s="6">
        <v>47520</v>
      </c>
      <c r="K707" s="5">
        <v>45762</v>
      </c>
      <c r="L707" s="7">
        <v>46022</v>
      </c>
    </row>
    <row r="708" spans="1:12" hidden="1" x14ac:dyDescent="0.25">
      <c r="A708" s="4">
        <v>702</v>
      </c>
      <c r="B708" s="2" t="str">
        <f>HYPERLINK("https://my.zakupivli.pro/remote/dispatcher/state_purchase_view/58874358", "UA-2025-04-18-007655-a")</f>
        <v>UA-2025-04-18-007655-a</v>
      </c>
      <c r="C708" s="1" t="s">
        <v>1573</v>
      </c>
      <c r="D708" s="1" t="s">
        <v>593</v>
      </c>
      <c r="E708" s="1" t="s">
        <v>1553</v>
      </c>
      <c r="F708" s="1" t="s">
        <v>87</v>
      </c>
      <c r="G708" s="1" t="s">
        <v>1743</v>
      </c>
      <c r="H708" s="1" t="s">
        <v>538</v>
      </c>
      <c r="I708" s="1" t="s">
        <v>277</v>
      </c>
      <c r="J708" s="6">
        <v>3790</v>
      </c>
      <c r="K708" s="5">
        <v>45764</v>
      </c>
      <c r="L708" s="7">
        <v>46022</v>
      </c>
    </row>
    <row r="709" spans="1:12" hidden="1" x14ac:dyDescent="0.25">
      <c r="A709" s="4">
        <v>703</v>
      </c>
      <c r="B709" s="2" t="str">
        <f>HYPERLINK("https://my.zakupivli.pro/remote/dispatcher/state_purchase_view/58851305", "UA-2025-04-17-009200-a")</f>
        <v>UA-2025-04-17-009200-a</v>
      </c>
      <c r="C709" s="1" t="s">
        <v>1595</v>
      </c>
      <c r="D709" s="1" t="s">
        <v>673</v>
      </c>
      <c r="E709" s="1" t="s">
        <v>1553</v>
      </c>
      <c r="F709" s="1" t="s">
        <v>87</v>
      </c>
      <c r="G709" s="1" t="s">
        <v>1743</v>
      </c>
      <c r="H709" s="1" t="s">
        <v>538</v>
      </c>
      <c r="I709" s="1" t="s">
        <v>273</v>
      </c>
      <c r="J709" s="6">
        <v>26940</v>
      </c>
      <c r="K709" s="5">
        <v>45764</v>
      </c>
      <c r="L709" s="7">
        <v>46022</v>
      </c>
    </row>
    <row r="710" spans="1:12" hidden="1" x14ac:dyDescent="0.25">
      <c r="A710" s="4">
        <v>704</v>
      </c>
      <c r="B710" s="2" t="str">
        <f>HYPERLINK("https://my.zakupivli.pro/remote/dispatcher/state_purchase_view/58848131", "UA-2025-04-17-007698-a")</f>
        <v>UA-2025-04-17-007698-a</v>
      </c>
      <c r="C710" s="1" t="s">
        <v>1528</v>
      </c>
      <c r="D710" s="1" t="s">
        <v>909</v>
      </c>
      <c r="E710" s="1" t="s">
        <v>1553</v>
      </c>
      <c r="F710" s="1" t="s">
        <v>87</v>
      </c>
      <c r="G710" s="1" t="s">
        <v>2018</v>
      </c>
      <c r="H710" s="1" t="s">
        <v>611</v>
      </c>
      <c r="I710" s="1" t="s">
        <v>270</v>
      </c>
      <c r="J710" s="6">
        <v>73996</v>
      </c>
      <c r="K710" s="5">
        <v>45764</v>
      </c>
      <c r="L710" s="7">
        <v>46022</v>
      </c>
    </row>
    <row r="711" spans="1:12" hidden="1" x14ac:dyDescent="0.25">
      <c r="A711" s="4">
        <v>705</v>
      </c>
      <c r="B711" s="2" t="str">
        <f>HYPERLINK("https://my.zakupivli.pro/remote/dispatcher/state_purchase_view/58792764", "UA-2025-04-15-010809-a")</f>
        <v>UA-2025-04-15-010809-a</v>
      </c>
      <c r="C711" s="1" t="s">
        <v>1412</v>
      </c>
      <c r="D711" s="1" t="s">
        <v>714</v>
      </c>
      <c r="E711" s="1" t="s">
        <v>1553</v>
      </c>
      <c r="F711" s="1" t="s">
        <v>87</v>
      </c>
      <c r="G711" s="1" t="s">
        <v>2091</v>
      </c>
      <c r="H711" s="1" t="s">
        <v>337</v>
      </c>
      <c r="I711" s="1"/>
      <c r="J711" s="6">
        <v>114348.76</v>
      </c>
      <c r="K711" s="1" t="s">
        <v>53</v>
      </c>
      <c r="L711" s="1"/>
    </row>
    <row r="712" spans="1:12" hidden="1" x14ac:dyDescent="0.25">
      <c r="A712" s="4">
        <v>706</v>
      </c>
      <c r="B712" s="2" t="str">
        <f>HYPERLINK("https://my.zakupivli.pro/remote/dispatcher/state_purchase_view/58790886", "UA-2025-04-15-009949-a")</f>
        <v>UA-2025-04-15-009949-a</v>
      </c>
      <c r="C712" s="1" t="s">
        <v>1592</v>
      </c>
      <c r="D712" s="1" t="s">
        <v>698</v>
      </c>
      <c r="E712" s="1" t="s">
        <v>1553</v>
      </c>
      <c r="F712" s="1" t="s">
        <v>87</v>
      </c>
      <c r="G712" s="1" t="s">
        <v>2117</v>
      </c>
      <c r="H712" s="1" t="s">
        <v>953</v>
      </c>
      <c r="I712" s="1"/>
      <c r="J712" s="6">
        <v>451047.8</v>
      </c>
      <c r="K712" s="1" t="s">
        <v>53</v>
      </c>
      <c r="L712" s="1"/>
    </row>
    <row r="713" spans="1:12" hidden="1" x14ac:dyDescent="0.25">
      <c r="A713" s="4">
        <v>707</v>
      </c>
      <c r="B713" s="2" t="str">
        <f>HYPERLINK("https://my.zakupivli.pro/remote/dispatcher/state_purchase_view/58789278", "UA-2025-04-15-009153-a")</f>
        <v>UA-2025-04-15-009153-a</v>
      </c>
      <c r="C713" s="1" t="s">
        <v>1789</v>
      </c>
      <c r="D713" s="1" t="s">
        <v>741</v>
      </c>
      <c r="E713" s="1" t="s">
        <v>1553</v>
      </c>
      <c r="F713" s="1" t="s">
        <v>87</v>
      </c>
      <c r="G713" s="1" t="s">
        <v>2150</v>
      </c>
      <c r="H713" s="1" t="s">
        <v>837</v>
      </c>
      <c r="I713" s="1"/>
      <c r="J713" s="6">
        <v>541002.69999999995</v>
      </c>
      <c r="K713" s="1" t="s">
        <v>53</v>
      </c>
      <c r="L713" s="1"/>
    </row>
    <row r="714" spans="1:12" hidden="1" x14ac:dyDescent="0.25">
      <c r="A714" s="4">
        <v>708</v>
      </c>
      <c r="B714" s="2" t="str">
        <f>HYPERLINK("https://my.zakupivli.pro/remote/dispatcher/state_purchase_view/58701277", "UA-2025-04-10-012626-a")</f>
        <v>UA-2025-04-10-012626-a</v>
      </c>
      <c r="C714" s="1" t="s">
        <v>2064</v>
      </c>
      <c r="D714" s="1" t="s">
        <v>914</v>
      </c>
      <c r="E714" s="1" t="s">
        <v>1553</v>
      </c>
      <c r="F714" s="1" t="s">
        <v>87</v>
      </c>
      <c r="G714" s="1" t="s">
        <v>2018</v>
      </c>
      <c r="H714" s="1" t="s">
        <v>611</v>
      </c>
      <c r="I714" s="1" t="s">
        <v>260</v>
      </c>
      <c r="J714" s="6">
        <v>680</v>
      </c>
      <c r="K714" s="5">
        <v>45757</v>
      </c>
      <c r="L714" s="7">
        <v>45777</v>
      </c>
    </row>
    <row r="715" spans="1:12" hidden="1" x14ac:dyDescent="0.25">
      <c r="A715" s="4">
        <v>709</v>
      </c>
      <c r="B715" s="2" t="str">
        <f>HYPERLINK("https://my.zakupivli.pro/remote/dispatcher/state_purchase_view/58699006", "UA-2025-04-10-011570-a")</f>
        <v>UA-2025-04-10-011570-a</v>
      </c>
      <c r="C715" s="1" t="s">
        <v>2256</v>
      </c>
      <c r="D715" s="1" t="s">
        <v>897</v>
      </c>
      <c r="E715" s="1" t="s">
        <v>1553</v>
      </c>
      <c r="F715" s="1" t="s">
        <v>87</v>
      </c>
      <c r="G715" s="1" t="s">
        <v>1551</v>
      </c>
      <c r="H715" s="1" t="s">
        <v>536</v>
      </c>
      <c r="I715" s="1" t="s">
        <v>259</v>
      </c>
      <c r="J715" s="6">
        <v>7120</v>
      </c>
      <c r="K715" s="5">
        <v>45757</v>
      </c>
      <c r="L715" s="7">
        <v>45777</v>
      </c>
    </row>
    <row r="716" spans="1:12" hidden="1" x14ac:dyDescent="0.25">
      <c r="A716" s="4">
        <v>710</v>
      </c>
      <c r="B716" s="2" t="str">
        <f>HYPERLINK("https://my.zakupivli.pro/remote/dispatcher/state_purchase_view/58696500", "UA-2025-04-10-010506-a")</f>
        <v>UA-2025-04-10-010506-a</v>
      </c>
      <c r="C716" s="1" t="s">
        <v>3</v>
      </c>
      <c r="D716" s="1" t="s">
        <v>1025</v>
      </c>
      <c r="E716" s="1" t="s">
        <v>1553</v>
      </c>
      <c r="F716" s="1" t="s">
        <v>87</v>
      </c>
      <c r="G716" s="1" t="s">
        <v>2018</v>
      </c>
      <c r="H716" s="1" t="s">
        <v>611</v>
      </c>
      <c r="I716" s="1" t="s">
        <v>258</v>
      </c>
      <c r="J716" s="6">
        <v>486</v>
      </c>
      <c r="K716" s="5">
        <v>45757</v>
      </c>
      <c r="L716" s="7">
        <v>45777</v>
      </c>
    </row>
    <row r="717" spans="1:12" hidden="1" x14ac:dyDescent="0.25">
      <c r="A717" s="4">
        <v>711</v>
      </c>
      <c r="B717" s="2" t="str">
        <f>HYPERLINK("https://my.zakupivli.pro/remote/dispatcher/state_purchase_view/58694124", "UA-2025-04-10-009429-a")</f>
        <v>UA-2025-04-10-009429-a</v>
      </c>
      <c r="C717" s="1" t="s">
        <v>1827</v>
      </c>
      <c r="D717" s="1" t="s">
        <v>1261</v>
      </c>
      <c r="E717" s="1" t="s">
        <v>1553</v>
      </c>
      <c r="F717" s="1" t="s">
        <v>87</v>
      </c>
      <c r="G717" s="1" t="s">
        <v>1717</v>
      </c>
      <c r="H717" s="1" t="s">
        <v>755</v>
      </c>
      <c r="I717" s="1" t="s">
        <v>63</v>
      </c>
      <c r="J717" s="6">
        <v>15800</v>
      </c>
      <c r="K717" s="5">
        <v>45757</v>
      </c>
      <c r="L717" s="7">
        <v>46022</v>
      </c>
    </row>
    <row r="718" spans="1:12" hidden="1" x14ac:dyDescent="0.25">
      <c r="A718" s="4">
        <v>712</v>
      </c>
      <c r="B718" s="2" t="str">
        <f>HYPERLINK("https://my.zakupivli.pro/remote/dispatcher/state_purchase_view/58692191", "UA-2025-04-10-008555-a")</f>
        <v>UA-2025-04-10-008555-a</v>
      </c>
      <c r="C718" s="1" t="s">
        <v>1920</v>
      </c>
      <c r="D718" s="1" t="s">
        <v>1268</v>
      </c>
      <c r="E718" s="1" t="s">
        <v>1553</v>
      </c>
      <c r="F718" s="1" t="s">
        <v>87</v>
      </c>
      <c r="G718" s="1" t="s">
        <v>1743</v>
      </c>
      <c r="H718" s="1" t="s">
        <v>538</v>
      </c>
      <c r="I718" s="1" t="s">
        <v>256</v>
      </c>
      <c r="J718" s="6">
        <v>99900</v>
      </c>
      <c r="K718" s="5">
        <v>45757</v>
      </c>
      <c r="L718" s="7">
        <v>46022</v>
      </c>
    </row>
    <row r="719" spans="1:12" hidden="1" x14ac:dyDescent="0.25">
      <c r="A719" s="4">
        <v>713</v>
      </c>
      <c r="B719" s="2" t="str">
        <f>HYPERLINK("https://my.zakupivli.pro/remote/dispatcher/state_purchase_view/58691793", "UA-2025-04-10-008314-a")</f>
        <v>UA-2025-04-10-008314-a</v>
      </c>
      <c r="C719" s="1" t="s">
        <v>1422</v>
      </c>
      <c r="D719" s="1" t="s">
        <v>1044</v>
      </c>
      <c r="E719" s="1" t="s">
        <v>1553</v>
      </c>
      <c r="F719" s="1" t="s">
        <v>87</v>
      </c>
      <c r="G719" s="1" t="s">
        <v>1644</v>
      </c>
      <c r="H719" s="1" t="s">
        <v>324</v>
      </c>
      <c r="I719" s="1" t="s">
        <v>253</v>
      </c>
      <c r="J719" s="6">
        <v>16005.6</v>
      </c>
      <c r="K719" s="5">
        <v>45757</v>
      </c>
      <c r="L719" s="7">
        <v>46022</v>
      </c>
    </row>
    <row r="720" spans="1:12" hidden="1" x14ac:dyDescent="0.25">
      <c r="A720" s="4">
        <v>714</v>
      </c>
      <c r="B720" s="2" t="str">
        <f>HYPERLINK("https://my.zakupivli.pro/remote/dispatcher/state_purchase_view/58690795", "UA-2025-04-10-007887-a")</f>
        <v>UA-2025-04-10-007887-a</v>
      </c>
      <c r="C720" s="1" t="s">
        <v>2002</v>
      </c>
      <c r="D720" s="1" t="s">
        <v>1163</v>
      </c>
      <c r="E720" s="1" t="s">
        <v>1553</v>
      </c>
      <c r="F720" s="1" t="s">
        <v>87</v>
      </c>
      <c r="G720" s="1" t="s">
        <v>1635</v>
      </c>
      <c r="H720" s="1" t="s">
        <v>525</v>
      </c>
      <c r="I720" s="1" t="s">
        <v>501</v>
      </c>
      <c r="J720" s="6">
        <v>59200</v>
      </c>
      <c r="K720" s="5">
        <v>45757</v>
      </c>
      <c r="L720" s="7">
        <v>45808</v>
      </c>
    </row>
    <row r="721" spans="1:12" hidden="1" x14ac:dyDescent="0.25">
      <c r="A721" s="4">
        <v>715</v>
      </c>
      <c r="B721" s="2" t="str">
        <f>HYPERLINK("https://my.zakupivli.pro/remote/dispatcher/state_purchase_view/58688811", "UA-2025-04-10-007052-a")</f>
        <v>UA-2025-04-10-007052-a</v>
      </c>
      <c r="C721" s="1" t="s">
        <v>1523</v>
      </c>
      <c r="D721" s="1" t="s">
        <v>1199</v>
      </c>
      <c r="E721" s="1" t="s">
        <v>1553</v>
      </c>
      <c r="F721" s="1" t="s">
        <v>87</v>
      </c>
      <c r="G721" s="1" t="s">
        <v>1376</v>
      </c>
      <c r="H721" s="1" t="s">
        <v>410</v>
      </c>
      <c r="I721" s="1" t="s">
        <v>316</v>
      </c>
      <c r="J721" s="6">
        <v>232200</v>
      </c>
      <c r="K721" s="5">
        <v>45779</v>
      </c>
      <c r="L721" s="7">
        <v>46112</v>
      </c>
    </row>
    <row r="722" spans="1:12" hidden="1" x14ac:dyDescent="0.25">
      <c r="A722" s="4">
        <v>716</v>
      </c>
      <c r="B722" s="2" t="str">
        <f>HYPERLINK("https://my.zakupivli.pro/remote/dispatcher/state_purchase_view/58660832", "UA-2025-04-09-009628-a")</f>
        <v>UA-2025-04-09-009628-a</v>
      </c>
      <c r="C722" s="1" t="s">
        <v>1875</v>
      </c>
      <c r="D722" s="1" t="s">
        <v>1149</v>
      </c>
      <c r="E722" s="1" t="s">
        <v>1553</v>
      </c>
      <c r="F722" s="1" t="s">
        <v>87</v>
      </c>
      <c r="G722" s="1" t="s">
        <v>2149</v>
      </c>
      <c r="H722" s="1" t="s">
        <v>803</v>
      </c>
      <c r="I722" s="1" t="s">
        <v>247</v>
      </c>
      <c r="J722" s="6">
        <v>275000</v>
      </c>
      <c r="K722" s="5">
        <v>45756</v>
      </c>
      <c r="L722" s="7">
        <v>46017</v>
      </c>
    </row>
    <row r="723" spans="1:12" hidden="1" x14ac:dyDescent="0.25">
      <c r="A723" s="4">
        <v>717</v>
      </c>
      <c r="B723" s="2" t="str">
        <f>HYPERLINK("https://my.zakupivli.pro/remote/dispatcher/state_purchase_view/58632822", "UA-2025-04-08-011728-a")</f>
        <v>UA-2025-04-08-011728-a</v>
      </c>
      <c r="C723" s="1" t="s">
        <v>1539</v>
      </c>
      <c r="D723" s="1" t="s">
        <v>1141</v>
      </c>
      <c r="E723" s="1" t="s">
        <v>1553</v>
      </c>
      <c r="F723" s="1" t="s">
        <v>87</v>
      </c>
      <c r="G723" s="1" t="s">
        <v>2220</v>
      </c>
      <c r="H723" s="1" t="s">
        <v>491</v>
      </c>
      <c r="I723" s="1" t="s">
        <v>308</v>
      </c>
      <c r="J723" s="6">
        <v>220080</v>
      </c>
      <c r="K723" s="5">
        <v>45776</v>
      </c>
      <c r="L723" s="7">
        <v>46037</v>
      </c>
    </row>
    <row r="724" spans="1:12" hidden="1" x14ac:dyDescent="0.25">
      <c r="A724" s="4">
        <v>718</v>
      </c>
      <c r="B724" s="2" t="str">
        <f>HYPERLINK("https://my.zakupivli.pro/remote/dispatcher/state_purchase_view/58596340", "UA-2025-04-07-009661-a")</f>
        <v>UA-2025-04-07-009661-a</v>
      </c>
      <c r="C724" s="1" t="s">
        <v>1791</v>
      </c>
      <c r="D724" s="1" t="s">
        <v>1326</v>
      </c>
      <c r="E724" s="1" t="s">
        <v>1553</v>
      </c>
      <c r="F724" s="1" t="s">
        <v>87</v>
      </c>
      <c r="G724" s="1" t="s">
        <v>2083</v>
      </c>
      <c r="H724" s="1" t="s">
        <v>861</v>
      </c>
      <c r="I724" s="1" t="s">
        <v>315</v>
      </c>
      <c r="J724" s="6">
        <v>899142.65</v>
      </c>
      <c r="K724" s="5">
        <v>45779</v>
      </c>
      <c r="L724" s="7">
        <v>46021</v>
      </c>
    </row>
    <row r="725" spans="1:12" hidden="1" x14ac:dyDescent="0.25">
      <c r="A725" s="4">
        <v>719</v>
      </c>
      <c r="B725" s="2" t="str">
        <f>HYPERLINK("https://my.zakupivli.pro/remote/dispatcher/state_purchase_view/58589053", "UA-2025-04-07-006449-a")</f>
        <v>UA-2025-04-07-006449-a</v>
      </c>
      <c r="C725" s="1" t="s">
        <v>1842</v>
      </c>
      <c r="D725" s="1" t="s">
        <v>1138</v>
      </c>
      <c r="E725" s="1" t="s">
        <v>1553</v>
      </c>
      <c r="F725" s="1" t="s">
        <v>87</v>
      </c>
      <c r="G725" s="1" t="s">
        <v>2178</v>
      </c>
      <c r="H725" s="1" t="s">
        <v>412</v>
      </c>
      <c r="I725" s="1" t="s">
        <v>245</v>
      </c>
      <c r="J725" s="6">
        <v>8440</v>
      </c>
      <c r="K725" s="5">
        <v>45754</v>
      </c>
      <c r="L725" s="7">
        <v>46022</v>
      </c>
    </row>
    <row r="726" spans="1:12" hidden="1" x14ac:dyDescent="0.25">
      <c r="A726" s="4">
        <v>720</v>
      </c>
      <c r="B726" s="2" t="str">
        <f>HYPERLINK("https://my.zakupivli.pro/remote/dispatcher/state_purchase_view/58568255", "UA-2025-04-04-010642-a")</f>
        <v>UA-2025-04-04-010642-a</v>
      </c>
      <c r="C726" s="1" t="s">
        <v>1686</v>
      </c>
      <c r="D726" s="1" t="s">
        <v>865</v>
      </c>
      <c r="E726" s="1" t="s">
        <v>1553</v>
      </c>
      <c r="F726" s="1" t="s">
        <v>87</v>
      </c>
      <c r="G726" s="1" t="s">
        <v>2202</v>
      </c>
      <c r="H726" s="1" t="s">
        <v>798</v>
      </c>
      <c r="I726" s="1" t="s">
        <v>283</v>
      </c>
      <c r="J726" s="6">
        <v>177600</v>
      </c>
      <c r="K726" s="5">
        <v>45769</v>
      </c>
      <c r="L726" s="7">
        <v>45807</v>
      </c>
    </row>
    <row r="727" spans="1:12" hidden="1" x14ac:dyDescent="0.25">
      <c r="A727" s="4">
        <v>721</v>
      </c>
      <c r="B727" s="2" t="str">
        <f>HYPERLINK("https://my.zakupivli.pro/remote/dispatcher/state_purchase_view/58567303", "UA-2025-04-04-010202-a")</f>
        <v>UA-2025-04-04-010202-a</v>
      </c>
      <c r="C727" s="1" t="s">
        <v>1630</v>
      </c>
      <c r="D727" s="1" t="s">
        <v>858</v>
      </c>
      <c r="E727" s="1" t="s">
        <v>1553</v>
      </c>
      <c r="F727" s="1" t="s">
        <v>87</v>
      </c>
      <c r="G727" s="1" t="s">
        <v>2202</v>
      </c>
      <c r="H727" s="1" t="s">
        <v>798</v>
      </c>
      <c r="I727" s="1" t="s">
        <v>282</v>
      </c>
      <c r="J727" s="6">
        <v>5181051.5999999996</v>
      </c>
      <c r="K727" s="5">
        <v>45769</v>
      </c>
      <c r="L727" s="7">
        <v>45835</v>
      </c>
    </row>
    <row r="728" spans="1:12" hidden="1" x14ac:dyDescent="0.25">
      <c r="A728" s="4">
        <v>722</v>
      </c>
      <c r="B728" s="2" t="str">
        <f>HYPERLINK("https://my.zakupivli.pro/remote/dispatcher/state_purchase_view/58564776", "UA-2025-04-04-009047-a")</f>
        <v>UA-2025-04-04-009047-a</v>
      </c>
      <c r="C728" s="1" t="s">
        <v>1383</v>
      </c>
      <c r="D728" s="1" t="s">
        <v>858</v>
      </c>
      <c r="E728" s="1" t="s">
        <v>1553</v>
      </c>
      <c r="F728" s="1" t="s">
        <v>87</v>
      </c>
      <c r="G728" s="1" t="s">
        <v>2163</v>
      </c>
      <c r="H728" s="1" t="s">
        <v>973</v>
      </c>
      <c r="I728" s="1" t="s">
        <v>281</v>
      </c>
      <c r="J728" s="6">
        <v>4999999.79</v>
      </c>
      <c r="K728" s="5">
        <v>45769</v>
      </c>
      <c r="L728" s="7">
        <v>45835</v>
      </c>
    </row>
    <row r="729" spans="1:12" hidden="1" x14ac:dyDescent="0.25">
      <c r="A729" s="4">
        <v>723</v>
      </c>
      <c r="B729" s="2" t="str">
        <f>HYPERLINK("https://my.zakupivli.pro/remote/dispatcher/state_purchase_view/58562001", "UA-2025-04-04-007799-a")</f>
        <v>UA-2025-04-04-007799-a</v>
      </c>
      <c r="C729" s="1" t="s">
        <v>40</v>
      </c>
      <c r="D729" s="1" t="s">
        <v>1313</v>
      </c>
      <c r="E729" s="1" t="s">
        <v>1553</v>
      </c>
      <c r="F729" s="1" t="s">
        <v>87</v>
      </c>
      <c r="G729" s="1" t="s">
        <v>1555</v>
      </c>
      <c r="H729" s="1" t="s">
        <v>86</v>
      </c>
      <c r="I729" s="1" t="s">
        <v>241</v>
      </c>
      <c r="J729" s="6">
        <v>30875</v>
      </c>
      <c r="K729" s="5">
        <v>45750</v>
      </c>
      <c r="L729" s="7">
        <v>46022</v>
      </c>
    </row>
    <row r="730" spans="1:12" hidden="1" x14ac:dyDescent="0.25">
      <c r="A730" s="4">
        <v>724</v>
      </c>
      <c r="B730" s="2" t="str">
        <f>HYPERLINK("https://my.zakupivli.pro/remote/dispatcher/state_purchase_view/58560998", "UA-2025-04-04-007357-a")</f>
        <v>UA-2025-04-04-007357-a</v>
      </c>
      <c r="C730" s="1" t="s">
        <v>1802</v>
      </c>
      <c r="D730" s="1" t="s">
        <v>348</v>
      </c>
      <c r="E730" s="1" t="s">
        <v>1553</v>
      </c>
      <c r="F730" s="1" t="s">
        <v>87</v>
      </c>
      <c r="G730" s="1" t="s">
        <v>1377</v>
      </c>
      <c r="H730" s="1" t="s">
        <v>240</v>
      </c>
      <c r="I730" s="1" t="s">
        <v>89</v>
      </c>
      <c r="J730" s="6">
        <v>24750</v>
      </c>
      <c r="K730" s="5">
        <v>45751</v>
      </c>
      <c r="L730" s="7">
        <v>46022</v>
      </c>
    </row>
    <row r="731" spans="1:12" hidden="1" x14ac:dyDescent="0.25">
      <c r="A731" s="4">
        <v>725</v>
      </c>
      <c r="B731" s="2" t="str">
        <f>HYPERLINK("https://my.zakupivli.pro/remote/dispatcher/state_purchase_view/58560590", "UA-2025-04-04-007166-a")</f>
        <v>UA-2025-04-04-007166-a</v>
      </c>
      <c r="C731" s="1" t="s">
        <v>1628</v>
      </c>
      <c r="D731" s="1" t="s">
        <v>641</v>
      </c>
      <c r="E731" s="1" t="s">
        <v>1553</v>
      </c>
      <c r="F731" s="1" t="s">
        <v>87</v>
      </c>
      <c r="G731" s="1" t="s">
        <v>1564</v>
      </c>
      <c r="H731" s="1" t="s">
        <v>722</v>
      </c>
      <c r="I731" s="1" t="s">
        <v>243</v>
      </c>
      <c r="J731" s="6">
        <v>1440</v>
      </c>
      <c r="K731" s="5">
        <v>45751</v>
      </c>
      <c r="L731" s="7">
        <v>46022</v>
      </c>
    </row>
    <row r="732" spans="1:12" hidden="1" x14ac:dyDescent="0.25">
      <c r="A732" s="4">
        <v>726</v>
      </c>
      <c r="B732" s="2" t="str">
        <f>HYPERLINK("https://my.zakupivli.pro/remote/dispatcher/state_purchase_view/58537679", "UA-2025-04-03-011559-a")</f>
        <v>UA-2025-04-03-011559-a</v>
      </c>
      <c r="C732" s="1" t="s">
        <v>1950</v>
      </c>
      <c r="D732" s="1" t="s">
        <v>1150</v>
      </c>
      <c r="E732" s="1" t="s">
        <v>1553</v>
      </c>
      <c r="F732" s="1" t="s">
        <v>87</v>
      </c>
      <c r="G732" s="1" t="s">
        <v>2092</v>
      </c>
      <c r="H732" s="1" t="s">
        <v>868</v>
      </c>
      <c r="I732" s="1" t="s">
        <v>284</v>
      </c>
      <c r="J732" s="6">
        <v>290880</v>
      </c>
      <c r="K732" s="5">
        <v>45769</v>
      </c>
      <c r="L732" s="7">
        <v>45852</v>
      </c>
    </row>
    <row r="733" spans="1:12" hidden="1" x14ac:dyDescent="0.25">
      <c r="A733" s="4">
        <v>727</v>
      </c>
      <c r="B733" s="2" t="str">
        <f>HYPERLINK("https://my.zakupivli.pro/remote/dispatcher/state_purchase_view/58478921", "UA-2025-04-01-012616-a")</f>
        <v>UA-2025-04-01-012616-a</v>
      </c>
      <c r="C733" s="1" t="s">
        <v>1494</v>
      </c>
      <c r="D733" s="1" t="s">
        <v>432</v>
      </c>
      <c r="E733" s="1" t="s">
        <v>1553</v>
      </c>
      <c r="F733" s="1" t="s">
        <v>87</v>
      </c>
      <c r="G733" s="1" t="s">
        <v>2279</v>
      </c>
      <c r="H733" s="1" t="s">
        <v>573</v>
      </c>
      <c r="I733" s="1" t="s">
        <v>231</v>
      </c>
      <c r="J733" s="6">
        <v>57600</v>
      </c>
      <c r="K733" s="5">
        <v>45748</v>
      </c>
      <c r="L733" s="7">
        <v>46022</v>
      </c>
    </row>
    <row r="734" spans="1:12" hidden="1" x14ac:dyDescent="0.25">
      <c r="A734" s="4">
        <v>728</v>
      </c>
      <c r="B734" s="2" t="str">
        <f>HYPERLINK("https://my.zakupivli.pro/remote/dispatcher/state_purchase_view/58446450", "UA-2025-03-31-009176-a")</f>
        <v>UA-2025-03-31-009176-a</v>
      </c>
      <c r="C734" s="1" t="s">
        <v>1646</v>
      </c>
      <c r="D734" s="1" t="s">
        <v>728</v>
      </c>
      <c r="E734" s="1" t="s">
        <v>1553</v>
      </c>
      <c r="F734" s="1" t="s">
        <v>87</v>
      </c>
      <c r="G734" s="1"/>
      <c r="H734" s="1"/>
      <c r="I734" s="1"/>
      <c r="J734" s="1"/>
      <c r="K734" s="1" t="s">
        <v>53</v>
      </c>
      <c r="L734" s="1"/>
    </row>
    <row r="735" spans="1:12" hidden="1" x14ac:dyDescent="0.25">
      <c r="A735" s="4">
        <v>729</v>
      </c>
      <c r="B735" s="2" t="str">
        <f>HYPERLINK("https://my.zakupivli.pro/remote/dispatcher/state_purchase_view/58442232", "UA-2025-03-31-007079-a")</f>
        <v>UA-2025-03-31-007079-a</v>
      </c>
      <c r="C735" s="1" t="s">
        <v>2007</v>
      </c>
      <c r="D735" s="1" t="s">
        <v>730</v>
      </c>
      <c r="E735" s="1" t="s">
        <v>1553</v>
      </c>
      <c r="F735" s="1" t="s">
        <v>87</v>
      </c>
      <c r="G735" s="1" t="s">
        <v>2087</v>
      </c>
      <c r="H735" s="1" t="s">
        <v>994</v>
      </c>
      <c r="I735" s="1" t="s">
        <v>263</v>
      </c>
      <c r="J735" s="6">
        <v>13293.25</v>
      </c>
      <c r="K735" s="5">
        <v>45755</v>
      </c>
      <c r="L735" s="7">
        <v>45958</v>
      </c>
    </row>
    <row r="736" spans="1:12" hidden="1" x14ac:dyDescent="0.25">
      <c r="A736" s="4">
        <v>730</v>
      </c>
      <c r="B736" s="2" t="str">
        <f>HYPERLINK("https://my.zakupivli.pro/remote/dispatcher/state_purchase_view/58441475", "UA-2025-03-31-006714-a")</f>
        <v>UA-2025-03-31-006714-a</v>
      </c>
      <c r="C736" s="1" t="s">
        <v>1667</v>
      </c>
      <c r="D736" s="1" t="s">
        <v>731</v>
      </c>
      <c r="E736" s="1" t="s">
        <v>1553</v>
      </c>
      <c r="F736" s="1" t="s">
        <v>87</v>
      </c>
      <c r="G736" s="1" t="s">
        <v>2173</v>
      </c>
      <c r="H736" s="1" t="s">
        <v>1078</v>
      </c>
      <c r="I736" s="1" t="s">
        <v>262</v>
      </c>
      <c r="J736" s="6">
        <v>65736.5</v>
      </c>
      <c r="K736" s="5">
        <v>45755</v>
      </c>
      <c r="L736" s="7">
        <v>46037</v>
      </c>
    </row>
    <row r="737" spans="1:12" hidden="1" x14ac:dyDescent="0.25">
      <c r="A737" s="4">
        <v>731</v>
      </c>
      <c r="B737" s="2" t="str">
        <f>HYPERLINK("https://my.zakupivli.pro/remote/dispatcher/state_purchase_view/58441006", "UA-2025-03-31-006465-a")</f>
        <v>UA-2025-03-31-006465-a</v>
      </c>
      <c r="C737" s="1" t="s">
        <v>1862</v>
      </c>
      <c r="D737" s="1" t="s">
        <v>1154</v>
      </c>
      <c r="E737" s="1" t="s">
        <v>1553</v>
      </c>
      <c r="F737" s="1" t="s">
        <v>87</v>
      </c>
      <c r="G737" s="1" t="s">
        <v>2175</v>
      </c>
      <c r="H737" s="1" t="s">
        <v>220</v>
      </c>
      <c r="I737" s="1" t="s">
        <v>475</v>
      </c>
      <c r="J737" s="6">
        <v>16518</v>
      </c>
      <c r="K737" s="5">
        <v>45744</v>
      </c>
      <c r="L737" s="7">
        <v>46022</v>
      </c>
    </row>
    <row r="738" spans="1:12" hidden="1" x14ac:dyDescent="0.25">
      <c r="A738" s="4">
        <v>732</v>
      </c>
      <c r="B738" s="2" t="str">
        <f>HYPERLINK("https://my.zakupivli.pro/remote/dispatcher/state_purchase_view/58440648", "UA-2025-03-31-006289-a")</f>
        <v>UA-2025-03-31-006289-a</v>
      </c>
      <c r="C738" s="1" t="s">
        <v>32</v>
      </c>
      <c r="D738" s="1" t="s">
        <v>1159</v>
      </c>
      <c r="E738" s="1" t="s">
        <v>1553</v>
      </c>
      <c r="F738" s="1" t="s">
        <v>87</v>
      </c>
      <c r="G738" s="1" t="s">
        <v>2175</v>
      </c>
      <c r="H738" s="1" t="s">
        <v>220</v>
      </c>
      <c r="I738" s="1" t="s">
        <v>397</v>
      </c>
      <c r="J738" s="6">
        <v>65301</v>
      </c>
      <c r="K738" s="5">
        <v>45744</v>
      </c>
      <c r="L738" s="7">
        <v>46022</v>
      </c>
    </row>
    <row r="739" spans="1:12" hidden="1" x14ac:dyDescent="0.25">
      <c r="A739" s="4">
        <v>733</v>
      </c>
      <c r="B739" s="2" t="str">
        <f>HYPERLINK("https://my.zakupivli.pro/remote/dispatcher/state_purchase_view/58440126", "UA-2025-03-31-005993-a")</f>
        <v>UA-2025-03-31-005993-a</v>
      </c>
      <c r="C739" s="1" t="s">
        <v>1459</v>
      </c>
      <c r="D739" s="1" t="s">
        <v>444</v>
      </c>
      <c r="E739" s="1" t="s">
        <v>1553</v>
      </c>
      <c r="F739" s="1" t="s">
        <v>87</v>
      </c>
      <c r="G739" s="1" t="s">
        <v>1456</v>
      </c>
      <c r="H739" s="1" t="s">
        <v>317</v>
      </c>
      <c r="I739" s="1" t="s">
        <v>230</v>
      </c>
      <c r="J739" s="6">
        <v>99999</v>
      </c>
      <c r="K739" s="5">
        <v>45747</v>
      </c>
      <c r="L739" s="7">
        <v>46022</v>
      </c>
    </row>
    <row r="740" spans="1:12" hidden="1" x14ac:dyDescent="0.25">
      <c r="A740" s="4">
        <v>734</v>
      </c>
      <c r="B740" s="2" t="str">
        <f>HYPERLINK("https://my.zakupivli.pro/remote/dispatcher/state_purchase_view/58405770", "UA-2025-03-28-002279-a")</f>
        <v>UA-2025-03-28-002279-a</v>
      </c>
      <c r="C740" s="1" t="s">
        <v>1573</v>
      </c>
      <c r="D740" s="1" t="s">
        <v>593</v>
      </c>
      <c r="E740" s="1" t="s">
        <v>1553</v>
      </c>
      <c r="F740" s="1" t="s">
        <v>87</v>
      </c>
      <c r="G740" s="1" t="s">
        <v>1743</v>
      </c>
      <c r="H740" s="1" t="s">
        <v>538</v>
      </c>
      <c r="I740" s="1" t="s">
        <v>219</v>
      </c>
      <c r="J740" s="6">
        <v>5840</v>
      </c>
      <c r="K740" s="5">
        <v>45744</v>
      </c>
      <c r="L740" s="7">
        <v>45777</v>
      </c>
    </row>
    <row r="741" spans="1:12" hidden="1" x14ac:dyDescent="0.25">
      <c r="A741" s="4">
        <v>735</v>
      </c>
      <c r="B741" s="2" t="str">
        <f>HYPERLINK("https://my.zakupivli.pro/remote/dispatcher/state_purchase_view/58373881", "UA-2025-03-26-013253-a")</f>
        <v>UA-2025-03-26-013253-a</v>
      </c>
      <c r="C741" s="1" t="s">
        <v>1630</v>
      </c>
      <c r="D741" s="1" t="s">
        <v>858</v>
      </c>
      <c r="E741" s="1" t="s">
        <v>1553</v>
      </c>
      <c r="F741" s="1" t="s">
        <v>87</v>
      </c>
      <c r="G741" s="1"/>
      <c r="H741" s="1"/>
      <c r="I741" s="1"/>
      <c r="J741" s="1"/>
      <c r="K741" s="1" t="s">
        <v>53</v>
      </c>
      <c r="L741" s="1"/>
    </row>
    <row r="742" spans="1:12" hidden="1" x14ac:dyDescent="0.25">
      <c r="A742" s="4">
        <v>736</v>
      </c>
      <c r="B742" s="2" t="str">
        <f>HYPERLINK("https://my.zakupivli.pro/remote/dispatcher/state_purchase_view/58373608", "UA-2025-03-26-013118-a")</f>
        <v>UA-2025-03-26-013118-a</v>
      </c>
      <c r="C742" s="1" t="s">
        <v>1686</v>
      </c>
      <c r="D742" s="1" t="s">
        <v>865</v>
      </c>
      <c r="E742" s="1" t="s">
        <v>1553</v>
      </c>
      <c r="F742" s="1" t="s">
        <v>87</v>
      </c>
      <c r="G742" s="1"/>
      <c r="H742" s="1"/>
      <c r="I742" s="1"/>
      <c r="J742" s="1"/>
      <c r="K742" s="1" t="s">
        <v>53</v>
      </c>
      <c r="L742" s="1"/>
    </row>
    <row r="743" spans="1:12" hidden="1" x14ac:dyDescent="0.25">
      <c r="A743" s="4">
        <v>737</v>
      </c>
      <c r="B743" s="2" t="str">
        <f>HYPERLINK("https://my.zakupivli.pro/remote/dispatcher/state_purchase_view/58373342", "UA-2025-03-26-012995-a")</f>
        <v>UA-2025-03-26-012995-a</v>
      </c>
      <c r="C743" s="1" t="s">
        <v>1383</v>
      </c>
      <c r="D743" s="1" t="s">
        <v>858</v>
      </c>
      <c r="E743" s="1" t="s">
        <v>1553</v>
      </c>
      <c r="F743" s="1" t="s">
        <v>87</v>
      </c>
      <c r="G743" s="1"/>
      <c r="H743" s="1"/>
      <c r="I743" s="1"/>
      <c r="J743" s="1"/>
      <c r="K743" s="1" t="s">
        <v>53</v>
      </c>
      <c r="L743" s="1"/>
    </row>
    <row r="744" spans="1:12" hidden="1" x14ac:dyDescent="0.25">
      <c r="A744" s="4">
        <v>738</v>
      </c>
      <c r="B744" s="2" t="str">
        <f>HYPERLINK("https://my.zakupivli.pro/remote/dispatcher/state_purchase_view/58365117", "UA-2025-03-26-009217-a")</f>
        <v>UA-2025-03-26-009217-a</v>
      </c>
      <c r="C744" s="1" t="s">
        <v>1979</v>
      </c>
      <c r="D744" s="1" t="s">
        <v>1304</v>
      </c>
      <c r="E744" s="1" t="s">
        <v>1553</v>
      </c>
      <c r="F744" s="1" t="s">
        <v>87</v>
      </c>
      <c r="G744" s="1" t="s">
        <v>1563</v>
      </c>
      <c r="H744" s="1" t="s">
        <v>115</v>
      </c>
      <c r="I744" s="1" t="s">
        <v>928</v>
      </c>
      <c r="J744" s="6">
        <v>12015</v>
      </c>
      <c r="K744" s="5">
        <v>45741</v>
      </c>
      <c r="L744" s="7">
        <v>46022</v>
      </c>
    </row>
    <row r="745" spans="1:12" hidden="1" x14ac:dyDescent="0.25">
      <c r="A745" s="4">
        <v>739</v>
      </c>
      <c r="B745" s="2" t="str">
        <f>HYPERLINK("https://my.zakupivli.pro/remote/dispatcher/state_purchase_view/58364489", "UA-2025-03-26-008927-a")</f>
        <v>UA-2025-03-26-008927-a</v>
      </c>
      <c r="C745" s="1" t="s">
        <v>1982</v>
      </c>
      <c r="D745" s="1" t="s">
        <v>1304</v>
      </c>
      <c r="E745" s="1" t="s">
        <v>1553</v>
      </c>
      <c r="F745" s="1" t="s">
        <v>87</v>
      </c>
      <c r="G745" s="1" t="s">
        <v>1563</v>
      </c>
      <c r="H745" s="1" t="s">
        <v>115</v>
      </c>
      <c r="I745" s="1" t="s">
        <v>924</v>
      </c>
      <c r="J745" s="6">
        <v>3560</v>
      </c>
      <c r="K745" s="5">
        <v>45741</v>
      </c>
      <c r="L745" s="7">
        <v>46022</v>
      </c>
    </row>
    <row r="746" spans="1:12" hidden="1" x14ac:dyDescent="0.25">
      <c r="A746" s="4">
        <v>740</v>
      </c>
      <c r="B746" s="2" t="str">
        <f>HYPERLINK("https://my.zakupivli.pro/remote/dispatcher/state_purchase_view/58363768", "UA-2025-03-26-008605-a")</f>
        <v>UA-2025-03-26-008605-a</v>
      </c>
      <c r="C746" s="1" t="s">
        <v>48</v>
      </c>
      <c r="D746" s="1" t="s">
        <v>880</v>
      </c>
      <c r="E746" s="1" t="s">
        <v>1553</v>
      </c>
      <c r="F746" s="1" t="s">
        <v>87</v>
      </c>
      <c r="G746" s="1" t="s">
        <v>2153</v>
      </c>
      <c r="H746" s="1" t="s">
        <v>239</v>
      </c>
      <c r="I746" s="1" t="s">
        <v>215</v>
      </c>
      <c r="J746" s="6">
        <v>5514</v>
      </c>
      <c r="K746" s="5">
        <v>45742</v>
      </c>
      <c r="L746" s="7">
        <v>45747</v>
      </c>
    </row>
    <row r="747" spans="1:12" hidden="1" x14ac:dyDescent="0.25">
      <c r="A747" s="4">
        <v>741</v>
      </c>
      <c r="B747" s="2" t="str">
        <f>HYPERLINK("https://my.zakupivli.pro/remote/dispatcher/state_purchase_view/58331104", "UA-2025-03-25-008275-a")</f>
        <v>UA-2025-03-25-008275-a</v>
      </c>
      <c r="C747" s="1" t="s">
        <v>1841</v>
      </c>
      <c r="D747" s="1" t="s">
        <v>1150</v>
      </c>
      <c r="E747" s="1" t="s">
        <v>1553</v>
      </c>
      <c r="F747" s="1" t="s">
        <v>87</v>
      </c>
      <c r="G747" s="1" t="s">
        <v>2258</v>
      </c>
      <c r="H747" s="1" t="s">
        <v>457</v>
      </c>
      <c r="I747" s="1" t="s">
        <v>246</v>
      </c>
      <c r="J747" s="6">
        <v>133250</v>
      </c>
      <c r="K747" s="5">
        <v>45757</v>
      </c>
      <c r="L747" s="7">
        <v>45841</v>
      </c>
    </row>
    <row r="748" spans="1:12" hidden="1" x14ac:dyDescent="0.25">
      <c r="A748" s="4">
        <v>742</v>
      </c>
      <c r="B748" s="2" t="str">
        <f>HYPERLINK("https://my.zakupivli.pro/remote/dispatcher/state_purchase_view/58319412", "UA-2025-03-25-003007-a")</f>
        <v>UA-2025-03-25-003007-a</v>
      </c>
      <c r="C748" s="1" t="s">
        <v>1729</v>
      </c>
      <c r="D748" s="1" t="s">
        <v>482</v>
      </c>
      <c r="E748" s="1" t="s">
        <v>1553</v>
      </c>
      <c r="F748" s="1" t="s">
        <v>87</v>
      </c>
      <c r="G748" s="1" t="s">
        <v>1561</v>
      </c>
      <c r="H748" s="1" t="s">
        <v>1027</v>
      </c>
      <c r="I748" s="1" t="s">
        <v>212</v>
      </c>
      <c r="J748" s="6">
        <v>9931.68</v>
      </c>
      <c r="K748" s="5">
        <v>45741</v>
      </c>
      <c r="L748" s="7">
        <v>45747</v>
      </c>
    </row>
    <row r="749" spans="1:12" hidden="1" x14ac:dyDescent="0.25">
      <c r="A749" s="4">
        <v>743</v>
      </c>
      <c r="B749" s="2" t="str">
        <f>HYPERLINK("https://my.zakupivli.pro/remote/dispatcher/state_purchase_view/58317351", "UA-2025-03-25-002047-a")</f>
        <v>UA-2025-03-25-002047-a</v>
      </c>
      <c r="C749" s="1" t="s">
        <v>39</v>
      </c>
      <c r="D749" s="1" t="s">
        <v>1276</v>
      </c>
      <c r="E749" s="1" t="s">
        <v>1553</v>
      </c>
      <c r="F749" s="1" t="s">
        <v>87</v>
      </c>
      <c r="G749" s="1" t="s">
        <v>1762</v>
      </c>
      <c r="H749" s="1" t="s">
        <v>821</v>
      </c>
      <c r="I749" s="1" t="s">
        <v>104</v>
      </c>
      <c r="J749" s="6">
        <v>2400</v>
      </c>
      <c r="K749" s="5">
        <v>45741</v>
      </c>
      <c r="L749" s="7">
        <v>46022</v>
      </c>
    </row>
    <row r="750" spans="1:12" hidden="1" x14ac:dyDescent="0.25">
      <c r="A750" s="4">
        <v>744</v>
      </c>
      <c r="B750" s="2" t="str">
        <f>HYPERLINK("https://my.zakupivli.pro/remote/dispatcher/state_purchase_view/58268471", "UA-2025-03-21-009029-a")</f>
        <v>UA-2025-03-21-009029-a</v>
      </c>
      <c r="C750" s="1" t="s">
        <v>1424</v>
      </c>
      <c r="D750" s="1" t="s">
        <v>1025</v>
      </c>
      <c r="E750" s="1" t="s">
        <v>1553</v>
      </c>
      <c r="F750" s="1" t="s">
        <v>87</v>
      </c>
      <c r="G750" s="1" t="s">
        <v>1644</v>
      </c>
      <c r="H750" s="1" t="s">
        <v>324</v>
      </c>
      <c r="I750" s="1" t="s">
        <v>203</v>
      </c>
      <c r="J750" s="6">
        <v>30100</v>
      </c>
      <c r="K750" s="5">
        <v>45736</v>
      </c>
      <c r="L750" s="7">
        <v>45747</v>
      </c>
    </row>
    <row r="751" spans="1:12" hidden="1" x14ac:dyDescent="0.25">
      <c r="A751" s="4">
        <v>745</v>
      </c>
      <c r="B751" s="2" t="str">
        <f>HYPERLINK("https://my.zakupivli.pro/remote/dispatcher/state_purchase_view/58266885", "UA-2025-03-21-008217-a")</f>
        <v>UA-2025-03-21-008217-a</v>
      </c>
      <c r="C751" s="1" t="s">
        <v>1784</v>
      </c>
      <c r="D751" s="1" t="s">
        <v>596</v>
      </c>
      <c r="E751" s="1" t="s">
        <v>1553</v>
      </c>
      <c r="F751" s="1" t="s">
        <v>87</v>
      </c>
      <c r="G751" s="1" t="s">
        <v>2094</v>
      </c>
      <c r="H751" s="1" t="s">
        <v>485</v>
      </c>
      <c r="I751" s="1" t="s">
        <v>223</v>
      </c>
      <c r="J751" s="6">
        <v>2565</v>
      </c>
      <c r="K751" s="5">
        <v>45747</v>
      </c>
      <c r="L751" s="7">
        <v>45823</v>
      </c>
    </row>
    <row r="752" spans="1:12" hidden="1" x14ac:dyDescent="0.25">
      <c r="A752" s="4">
        <v>746</v>
      </c>
      <c r="B752" s="2" t="str">
        <f>HYPERLINK("https://my.zakupivli.pro/remote/dispatcher/state_purchase_view/58260979", "UA-2025-03-21-005596-a")</f>
        <v>UA-2025-03-21-005596-a</v>
      </c>
      <c r="C752" s="1" t="s">
        <v>1420</v>
      </c>
      <c r="D752" s="1" t="s">
        <v>439</v>
      </c>
      <c r="E752" s="1" t="s">
        <v>1553</v>
      </c>
      <c r="F752" s="1" t="s">
        <v>87</v>
      </c>
      <c r="G752" s="1" t="s">
        <v>2242</v>
      </c>
      <c r="H752" s="1" t="s">
        <v>573</v>
      </c>
      <c r="I752" s="1" t="s">
        <v>218</v>
      </c>
      <c r="J752" s="6">
        <v>41780</v>
      </c>
      <c r="K752" s="5">
        <v>45744</v>
      </c>
      <c r="L752" s="7">
        <v>45764</v>
      </c>
    </row>
    <row r="753" spans="1:12" hidden="1" x14ac:dyDescent="0.25">
      <c r="A753" s="4">
        <v>747</v>
      </c>
      <c r="B753" s="2" t="str">
        <f>HYPERLINK("https://my.zakupivli.pro/remote/dispatcher/state_purchase_view/58228350", "UA-2025-03-20-005765-a")</f>
        <v>UA-2025-03-20-005765-a</v>
      </c>
      <c r="C753" s="1" t="s">
        <v>1482</v>
      </c>
      <c r="D753" s="1" t="s">
        <v>858</v>
      </c>
      <c r="E753" s="1" t="s">
        <v>1553</v>
      </c>
      <c r="F753" s="1" t="s">
        <v>87</v>
      </c>
      <c r="G753" s="1" t="s">
        <v>2111</v>
      </c>
      <c r="H753" s="1" t="s">
        <v>460</v>
      </c>
      <c r="I753" s="1" t="s">
        <v>228</v>
      </c>
      <c r="J753" s="6">
        <v>5610</v>
      </c>
      <c r="K753" s="5">
        <v>45734</v>
      </c>
      <c r="L753" s="7">
        <v>46022</v>
      </c>
    </row>
    <row r="754" spans="1:12" hidden="1" x14ac:dyDescent="0.25">
      <c r="A754" s="4">
        <v>748</v>
      </c>
      <c r="B754" s="2" t="str">
        <f>HYPERLINK("https://my.zakupivli.pro/remote/dispatcher/state_purchase_view/58223338", "UA-2025-03-20-003452-a")</f>
        <v>UA-2025-03-20-003452-a</v>
      </c>
      <c r="C754" s="1" t="s">
        <v>165</v>
      </c>
      <c r="D754" s="1" t="s">
        <v>736</v>
      </c>
      <c r="E754" s="1" t="s">
        <v>1553</v>
      </c>
      <c r="F754" s="1" t="s">
        <v>87</v>
      </c>
      <c r="G754" s="1" t="s">
        <v>2163</v>
      </c>
      <c r="H754" s="1" t="s">
        <v>973</v>
      </c>
      <c r="I754" s="1" t="s">
        <v>244</v>
      </c>
      <c r="J754" s="6">
        <v>527761.44999999995</v>
      </c>
      <c r="K754" s="5">
        <v>45754</v>
      </c>
      <c r="L754" s="7">
        <v>46107</v>
      </c>
    </row>
    <row r="755" spans="1:12" hidden="1" x14ac:dyDescent="0.25">
      <c r="A755" s="4">
        <v>749</v>
      </c>
      <c r="B755" s="2" t="str">
        <f>HYPERLINK("https://my.zakupivli.pro/remote/dispatcher/state_purchase_view/58190730", "UA-2025-03-19-003607-a")</f>
        <v>UA-2025-03-19-003607-a</v>
      </c>
      <c r="C755" s="1" t="s">
        <v>1906</v>
      </c>
      <c r="D755" s="1" t="s">
        <v>1154</v>
      </c>
      <c r="E755" s="1" t="s">
        <v>1553</v>
      </c>
      <c r="F755" s="1" t="s">
        <v>87</v>
      </c>
      <c r="G755" s="1" t="s">
        <v>1479</v>
      </c>
      <c r="H755" s="1" t="s">
        <v>794</v>
      </c>
      <c r="I755" s="1" t="s">
        <v>1218</v>
      </c>
      <c r="J755" s="6">
        <v>24520</v>
      </c>
      <c r="K755" s="5">
        <v>45735</v>
      </c>
      <c r="L755" s="7">
        <v>46022</v>
      </c>
    </row>
    <row r="756" spans="1:12" hidden="1" x14ac:dyDescent="0.25">
      <c r="A756" s="4">
        <v>750</v>
      </c>
      <c r="B756" s="2" t="str">
        <f>HYPERLINK("https://my.zakupivli.pro/remote/dispatcher/state_purchase_view/58189583", "UA-2025-03-19-003107-a")</f>
        <v>UA-2025-03-19-003107-a</v>
      </c>
      <c r="C756" s="1" t="s">
        <v>1367</v>
      </c>
      <c r="D756" s="1" t="s">
        <v>1290</v>
      </c>
      <c r="E756" s="1" t="s">
        <v>1553</v>
      </c>
      <c r="F756" s="1" t="s">
        <v>87</v>
      </c>
      <c r="G756" s="1" t="s">
        <v>2138</v>
      </c>
      <c r="H756" s="1" t="s">
        <v>991</v>
      </c>
      <c r="I756" s="1" t="s">
        <v>207</v>
      </c>
      <c r="J756" s="6">
        <v>5699</v>
      </c>
      <c r="K756" s="5">
        <v>45735</v>
      </c>
      <c r="L756" s="7">
        <v>45743</v>
      </c>
    </row>
    <row r="757" spans="1:12" hidden="1" x14ac:dyDescent="0.25">
      <c r="A757" s="4">
        <v>751</v>
      </c>
      <c r="B757" s="2" t="str">
        <f>HYPERLINK("https://my.zakupivli.pro/remote/dispatcher/state_purchase_view/58188981", "UA-2025-03-19-002863-a")</f>
        <v>UA-2025-03-19-002863-a</v>
      </c>
      <c r="C757" s="1" t="s">
        <v>2053</v>
      </c>
      <c r="D757" s="1" t="s">
        <v>1223</v>
      </c>
      <c r="E757" s="1" t="s">
        <v>1553</v>
      </c>
      <c r="F757" s="1" t="s">
        <v>87</v>
      </c>
      <c r="G757" s="1" t="s">
        <v>1777</v>
      </c>
      <c r="H757" s="1" t="s">
        <v>56</v>
      </c>
      <c r="I757" s="1" t="s">
        <v>299</v>
      </c>
      <c r="J757" s="6">
        <v>1507.2</v>
      </c>
      <c r="K757" s="5">
        <v>45735</v>
      </c>
      <c r="L757" s="7">
        <v>46100</v>
      </c>
    </row>
    <row r="758" spans="1:12" hidden="1" x14ac:dyDescent="0.25">
      <c r="A758" s="4">
        <v>752</v>
      </c>
      <c r="B758" s="2" t="str">
        <f>HYPERLINK("https://my.zakupivli.pro/remote/dispatcher/state_purchase_view/58167175", "UA-2025-03-18-007979-a")</f>
        <v>UA-2025-03-18-007979-a</v>
      </c>
      <c r="C758" s="1" t="s">
        <v>2197</v>
      </c>
      <c r="D758" s="1" t="s">
        <v>1150</v>
      </c>
      <c r="E758" s="1" t="s">
        <v>1553</v>
      </c>
      <c r="F758" s="1" t="s">
        <v>87</v>
      </c>
      <c r="G758" s="1" t="s">
        <v>2234</v>
      </c>
      <c r="H758" s="1" t="s">
        <v>622</v>
      </c>
      <c r="I758" s="1"/>
      <c r="J758" s="6">
        <v>172458</v>
      </c>
      <c r="K758" s="1" t="s">
        <v>53</v>
      </c>
      <c r="L758" s="1"/>
    </row>
    <row r="759" spans="1:12" hidden="1" x14ac:dyDescent="0.25">
      <c r="A759" s="4">
        <v>753</v>
      </c>
      <c r="B759" s="2" t="str">
        <f>HYPERLINK("https://my.zakupivli.pro/remote/dispatcher/state_purchase_view/58165307", "UA-2025-03-18-007171-a")</f>
        <v>UA-2025-03-18-007171-a</v>
      </c>
      <c r="C759" s="1" t="s">
        <v>1665</v>
      </c>
      <c r="D759" s="1" t="s">
        <v>1313</v>
      </c>
      <c r="E759" s="1" t="s">
        <v>1553</v>
      </c>
      <c r="F759" s="1" t="s">
        <v>87</v>
      </c>
      <c r="G759" s="1" t="s">
        <v>1555</v>
      </c>
      <c r="H759" s="1" t="s">
        <v>86</v>
      </c>
      <c r="I759" s="1" t="s">
        <v>1145</v>
      </c>
      <c r="J759" s="6">
        <v>1729</v>
      </c>
      <c r="K759" s="5">
        <v>45730</v>
      </c>
      <c r="L759" s="7">
        <v>46022</v>
      </c>
    </row>
    <row r="760" spans="1:12" hidden="1" x14ac:dyDescent="0.25">
      <c r="A760" s="4">
        <v>754</v>
      </c>
      <c r="B760" s="2" t="str">
        <f>HYPERLINK("https://my.zakupivli.pro/remote/dispatcher/state_purchase_view/58160000", "UA-2025-03-18-004746-a")</f>
        <v>UA-2025-03-18-004746-a</v>
      </c>
      <c r="C760" s="1" t="s">
        <v>2058</v>
      </c>
      <c r="D760" s="1" t="s">
        <v>881</v>
      </c>
      <c r="E760" s="1" t="s">
        <v>1553</v>
      </c>
      <c r="F760" s="1" t="s">
        <v>87</v>
      </c>
      <c r="G760" s="1" t="s">
        <v>1635</v>
      </c>
      <c r="H760" s="1" t="s">
        <v>525</v>
      </c>
      <c r="I760" s="1" t="s">
        <v>449</v>
      </c>
      <c r="J760" s="6">
        <v>7680</v>
      </c>
      <c r="K760" s="5">
        <v>45734</v>
      </c>
      <c r="L760" s="7">
        <v>45747</v>
      </c>
    </row>
    <row r="761" spans="1:12" hidden="1" x14ac:dyDescent="0.25">
      <c r="A761" s="4">
        <v>755</v>
      </c>
      <c r="B761" s="2" t="str">
        <f>HYPERLINK("https://my.zakupivli.pro/remote/dispatcher/state_purchase_view/58157595", "UA-2025-03-18-003620-a")</f>
        <v>UA-2025-03-18-003620-a</v>
      </c>
      <c r="C761" s="1" t="s">
        <v>1915</v>
      </c>
      <c r="D761" s="1" t="s">
        <v>1223</v>
      </c>
      <c r="E761" s="1" t="s">
        <v>1553</v>
      </c>
      <c r="F761" s="1" t="s">
        <v>87</v>
      </c>
      <c r="G761" s="1" t="s">
        <v>1777</v>
      </c>
      <c r="H761" s="1" t="s">
        <v>56</v>
      </c>
      <c r="I761" s="1" t="s">
        <v>298</v>
      </c>
      <c r="J761" s="6">
        <v>4574.25</v>
      </c>
      <c r="K761" s="5">
        <v>45734</v>
      </c>
      <c r="L761" s="7">
        <v>46099</v>
      </c>
    </row>
    <row r="762" spans="1:12" hidden="1" x14ac:dyDescent="0.25">
      <c r="A762" s="4">
        <v>756</v>
      </c>
      <c r="B762" s="2" t="str">
        <f>HYPERLINK("https://my.zakupivli.pro/remote/dispatcher/state_purchase_view/58156223", "UA-2025-03-18-002992-a")</f>
        <v>UA-2025-03-18-002992-a</v>
      </c>
      <c r="C762" s="1" t="s">
        <v>1924</v>
      </c>
      <c r="D762" s="1" t="s">
        <v>1138</v>
      </c>
      <c r="E762" s="1" t="s">
        <v>1553</v>
      </c>
      <c r="F762" s="1" t="s">
        <v>87</v>
      </c>
      <c r="G762" s="1" t="s">
        <v>2116</v>
      </c>
      <c r="H762" s="1" t="s">
        <v>715</v>
      </c>
      <c r="I762" s="1" t="s">
        <v>202</v>
      </c>
      <c r="J762" s="6">
        <v>1984</v>
      </c>
      <c r="K762" s="5">
        <v>45734</v>
      </c>
      <c r="L762" s="7">
        <v>46022</v>
      </c>
    </row>
    <row r="763" spans="1:12" hidden="1" x14ac:dyDescent="0.25">
      <c r="A763" s="4">
        <v>757</v>
      </c>
      <c r="B763" s="2" t="str">
        <f>HYPERLINK("https://my.zakupivli.pro/remote/dispatcher/state_purchase_view/58140707", "UA-2025-03-17-009906-a")</f>
        <v>UA-2025-03-17-009906-a</v>
      </c>
      <c r="C763" s="1" t="s">
        <v>1445</v>
      </c>
      <c r="D763" s="1" t="s">
        <v>728</v>
      </c>
      <c r="E763" s="1" t="s">
        <v>1553</v>
      </c>
      <c r="F763" s="1" t="s">
        <v>87</v>
      </c>
      <c r="G763" s="1" t="s">
        <v>1935</v>
      </c>
      <c r="H763" s="1" t="s">
        <v>637</v>
      </c>
      <c r="I763" s="1" t="s">
        <v>233</v>
      </c>
      <c r="J763" s="6">
        <v>348381</v>
      </c>
      <c r="K763" s="5">
        <v>45748</v>
      </c>
      <c r="L763" s="7">
        <v>46041</v>
      </c>
    </row>
    <row r="764" spans="1:12" hidden="1" x14ac:dyDescent="0.25">
      <c r="A764" s="4">
        <v>758</v>
      </c>
      <c r="B764" s="2" t="str">
        <f>HYPERLINK("https://my.zakupivli.pro/remote/dispatcher/state_purchase_view/58139484", "UA-2025-03-17-009390-a")</f>
        <v>UA-2025-03-17-009390-a</v>
      </c>
      <c r="C764" s="1" t="s">
        <v>1959</v>
      </c>
      <c r="D764" s="1" t="s">
        <v>1189</v>
      </c>
      <c r="E764" s="1" t="s">
        <v>1553</v>
      </c>
      <c r="F764" s="1" t="s">
        <v>87</v>
      </c>
      <c r="G764" s="1" t="s">
        <v>1763</v>
      </c>
      <c r="H764" s="1" t="s">
        <v>107</v>
      </c>
      <c r="I764" s="1" t="s">
        <v>1352</v>
      </c>
      <c r="J764" s="6">
        <v>20826.66</v>
      </c>
      <c r="K764" s="5">
        <v>45733</v>
      </c>
      <c r="L764" s="7">
        <v>46022</v>
      </c>
    </row>
    <row r="765" spans="1:12" hidden="1" x14ac:dyDescent="0.25">
      <c r="A765" s="4">
        <v>759</v>
      </c>
      <c r="B765" s="2" t="str">
        <f>HYPERLINK("https://my.zakupivli.pro/remote/dispatcher/state_purchase_view/58110204", "UA-2025-03-14-010127-a")</f>
        <v>UA-2025-03-14-010127-a</v>
      </c>
      <c r="C765" s="1" t="s">
        <v>1605</v>
      </c>
      <c r="D765" s="1" t="s">
        <v>709</v>
      </c>
      <c r="E765" s="1" t="s">
        <v>1553</v>
      </c>
      <c r="F765" s="1" t="s">
        <v>87</v>
      </c>
      <c r="G765" s="1" t="s">
        <v>2172</v>
      </c>
      <c r="H765" s="1" t="s">
        <v>1001</v>
      </c>
      <c r="I765" s="1" t="s">
        <v>467</v>
      </c>
      <c r="J765" s="6">
        <v>126267.49</v>
      </c>
      <c r="K765" s="5">
        <v>45749</v>
      </c>
      <c r="L765" s="7">
        <v>46048</v>
      </c>
    </row>
    <row r="766" spans="1:12" hidden="1" x14ac:dyDescent="0.25">
      <c r="A766" s="4">
        <v>760</v>
      </c>
      <c r="B766" s="2" t="str">
        <f>HYPERLINK("https://my.zakupivli.pro/remote/dispatcher/state_purchase_view/58109556", "UA-2025-03-14-009801-a")</f>
        <v>UA-2025-03-14-009801-a</v>
      </c>
      <c r="C766" s="1" t="s">
        <v>2252</v>
      </c>
      <c r="D766" s="1" t="s">
        <v>312</v>
      </c>
      <c r="E766" s="1" t="s">
        <v>1553</v>
      </c>
      <c r="F766" s="1" t="s">
        <v>87</v>
      </c>
      <c r="G766" s="1" t="s">
        <v>2111</v>
      </c>
      <c r="H766" s="1" t="s">
        <v>460</v>
      </c>
      <c r="I766" s="1" t="s">
        <v>186</v>
      </c>
      <c r="J766" s="6">
        <v>1650</v>
      </c>
      <c r="K766" s="5">
        <v>45730</v>
      </c>
      <c r="L766" s="7">
        <v>46022</v>
      </c>
    </row>
    <row r="767" spans="1:12" hidden="1" x14ac:dyDescent="0.25">
      <c r="A767" s="4">
        <v>761</v>
      </c>
      <c r="B767" s="2" t="str">
        <f>HYPERLINK("https://my.zakupivli.pro/remote/dispatcher/state_purchase_view/58085184", "UA-2025-03-13-013679-a")</f>
        <v>UA-2025-03-13-013679-a</v>
      </c>
      <c r="C767" s="1" t="s">
        <v>1578</v>
      </c>
      <c r="D767" s="1" t="s">
        <v>698</v>
      </c>
      <c r="E767" s="1" t="s">
        <v>1553</v>
      </c>
      <c r="F767" s="1" t="s">
        <v>87</v>
      </c>
      <c r="G767" s="1" t="s">
        <v>2221</v>
      </c>
      <c r="H767" s="1" t="s">
        <v>510</v>
      </c>
      <c r="I767" s="1" t="s">
        <v>149</v>
      </c>
      <c r="J767" s="6">
        <v>282811.2</v>
      </c>
      <c r="K767" s="5">
        <v>45744</v>
      </c>
      <c r="L767" s="7">
        <v>46048</v>
      </c>
    </row>
    <row r="768" spans="1:12" hidden="1" x14ac:dyDescent="0.25">
      <c r="A768" s="4">
        <v>762</v>
      </c>
      <c r="B768" s="2" t="str">
        <f>HYPERLINK("https://my.zakupivli.pro/remote/dispatcher/state_purchase_view/58075229", "UA-2025-03-13-008919-a")</f>
        <v>UA-2025-03-13-008919-a</v>
      </c>
      <c r="C768" s="1" t="s">
        <v>36</v>
      </c>
      <c r="D768" s="1" t="s">
        <v>1147</v>
      </c>
      <c r="E768" s="1" t="s">
        <v>1553</v>
      </c>
      <c r="F768" s="1" t="s">
        <v>87</v>
      </c>
      <c r="G768" s="1" t="s">
        <v>1472</v>
      </c>
      <c r="H768" s="1" t="s">
        <v>101</v>
      </c>
      <c r="I768" s="1" t="s">
        <v>437</v>
      </c>
      <c r="J768" s="6">
        <v>11880</v>
      </c>
      <c r="K768" s="5">
        <v>45728</v>
      </c>
      <c r="L768" s="7">
        <v>46022</v>
      </c>
    </row>
    <row r="769" spans="1:12" hidden="1" x14ac:dyDescent="0.25">
      <c r="A769" s="4">
        <v>763</v>
      </c>
      <c r="B769" s="2" t="str">
        <f>HYPERLINK("https://my.zakupivli.pro/remote/dispatcher/state_purchase_view/58074248", "UA-2025-03-13-008412-a")</f>
        <v>UA-2025-03-13-008412-a</v>
      </c>
      <c r="C769" s="1" t="s">
        <v>1918</v>
      </c>
      <c r="D769" s="1" t="s">
        <v>1199</v>
      </c>
      <c r="E769" s="1" t="s">
        <v>1553</v>
      </c>
      <c r="F769" s="1" t="s">
        <v>87</v>
      </c>
      <c r="G769" s="1" t="s">
        <v>1768</v>
      </c>
      <c r="H769" s="1" t="s">
        <v>238</v>
      </c>
      <c r="I769" s="1" t="s">
        <v>577</v>
      </c>
      <c r="J769" s="6">
        <v>3000</v>
      </c>
      <c r="K769" s="5">
        <v>45726</v>
      </c>
      <c r="L769" s="7">
        <v>46022</v>
      </c>
    </row>
    <row r="770" spans="1:12" hidden="1" x14ac:dyDescent="0.25">
      <c r="A770" s="4">
        <v>764</v>
      </c>
      <c r="B770" s="2" t="str">
        <f>HYPERLINK("https://my.zakupivli.pro/remote/dispatcher/state_purchase_view/58049419", "UA-2025-03-12-011657-a")</f>
        <v>UA-2025-03-12-011657-a</v>
      </c>
      <c r="C770" s="1" t="s">
        <v>1684</v>
      </c>
      <c r="D770" s="1" t="s">
        <v>1015</v>
      </c>
      <c r="E770" s="1" t="s">
        <v>1553</v>
      </c>
      <c r="F770" s="1" t="s">
        <v>87</v>
      </c>
      <c r="G770" s="1" t="s">
        <v>2079</v>
      </c>
      <c r="H770" s="1" t="s">
        <v>451</v>
      </c>
      <c r="I770" s="1" t="s">
        <v>222</v>
      </c>
      <c r="J770" s="6">
        <v>324000</v>
      </c>
      <c r="K770" s="5">
        <v>45744</v>
      </c>
      <c r="L770" s="7">
        <v>45768</v>
      </c>
    </row>
    <row r="771" spans="1:12" hidden="1" x14ac:dyDescent="0.25">
      <c r="A771" s="4">
        <v>765</v>
      </c>
      <c r="B771" s="2" t="str">
        <f>HYPERLINK("https://my.zakupivli.pro/remote/dispatcher/state_purchase_view/58040173", "UA-2025-03-12-007391-a")</f>
        <v>UA-2025-03-12-007391-a</v>
      </c>
      <c r="C771" s="1" t="s">
        <v>2253</v>
      </c>
      <c r="D771" s="1" t="s">
        <v>593</v>
      </c>
      <c r="E771" s="1" t="s">
        <v>1553</v>
      </c>
      <c r="F771" s="1" t="s">
        <v>87</v>
      </c>
      <c r="G771" s="1" t="s">
        <v>1743</v>
      </c>
      <c r="H771" s="1" t="s">
        <v>538</v>
      </c>
      <c r="I771" s="1" t="s">
        <v>201</v>
      </c>
      <c r="J771" s="6">
        <v>9230</v>
      </c>
      <c r="K771" s="5">
        <v>45728</v>
      </c>
      <c r="L771" s="7">
        <v>45747</v>
      </c>
    </row>
    <row r="772" spans="1:12" hidden="1" x14ac:dyDescent="0.25">
      <c r="A772" s="4">
        <v>766</v>
      </c>
      <c r="B772" s="2" t="str">
        <f>HYPERLINK("https://my.zakupivli.pro/remote/dispatcher/state_purchase_view/58039853", "UA-2025-03-12-007236-a")</f>
        <v>UA-2025-03-12-007236-a</v>
      </c>
      <c r="C772" s="1" t="s">
        <v>23</v>
      </c>
      <c r="D772" s="1" t="s">
        <v>598</v>
      </c>
      <c r="E772" s="1" t="s">
        <v>1553</v>
      </c>
      <c r="F772" s="1" t="s">
        <v>87</v>
      </c>
      <c r="G772" s="1" t="s">
        <v>1743</v>
      </c>
      <c r="H772" s="1" t="s">
        <v>538</v>
      </c>
      <c r="I772" s="1" t="s">
        <v>200</v>
      </c>
      <c r="J772" s="6">
        <v>1460</v>
      </c>
      <c r="K772" s="5">
        <v>45728</v>
      </c>
      <c r="L772" s="7">
        <v>45747</v>
      </c>
    </row>
    <row r="773" spans="1:12" hidden="1" x14ac:dyDescent="0.25">
      <c r="A773" s="4">
        <v>767</v>
      </c>
      <c r="B773" s="2" t="str">
        <f>HYPERLINK("https://my.zakupivli.pro/remote/dispatcher/state_purchase_view/58009820", "UA-2025-03-11-008292-a")</f>
        <v>UA-2025-03-11-008292-a</v>
      </c>
      <c r="C773" s="1" t="s">
        <v>1904</v>
      </c>
      <c r="D773" s="1" t="s">
        <v>1300</v>
      </c>
      <c r="E773" s="1" t="s">
        <v>1553</v>
      </c>
      <c r="F773" s="1" t="s">
        <v>87</v>
      </c>
      <c r="G773" s="1" t="s">
        <v>2127</v>
      </c>
      <c r="H773" s="1" t="s">
        <v>841</v>
      </c>
      <c r="I773" s="1" t="s">
        <v>199</v>
      </c>
      <c r="J773" s="6">
        <v>14000</v>
      </c>
      <c r="K773" s="5">
        <v>45727</v>
      </c>
      <c r="L773" s="7">
        <v>45777</v>
      </c>
    </row>
    <row r="774" spans="1:12" hidden="1" x14ac:dyDescent="0.25">
      <c r="A774" s="4">
        <v>768</v>
      </c>
      <c r="B774" s="2" t="str">
        <f>HYPERLINK("https://my.zakupivli.pro/remote/dispatcher/state_purchase_view/57980421", "UA-2025-03-10-009118-a")</f>
        <v>UA-2025-03-10-009118-a</v>
      </c>
      <c r="C774" s="1" t="s">
        <v>1462</v>
      </c>
      <c r="D774" s="1" t="s">
        <v>706</v>
      </c>
      <c r="E774" s="1" t="s">
        <v>1553</v>
      </c>
      <c r="F774" s="1" t="s">
        <v>87</v>
      </c>
      <c r="G774" s="1" t="s">
        <v>2070</v>
      </c>
      <c r="H774" s="1" t="s">
        <v>942</v>
      </c>
      <c r="I774" s="1" t="s">
        <v>217</v>
      </c>
      <c r="J774" s="6">
        <v>404999.28</v>
      </c>
      <c r="K774" s="5">
        <v>45743</v>
      </c>
      <c r="L774" s="7">
        <v>45807</v>
      </c>
    </row>
    <row r="775" spans="1:12" hidden="1" x14ac:dyDescent="0.25">
      <c r="A775" s="4">
        <v>769</v>
      </c>
      <c r="B775" s="2" t="str">
        <f>HYPERLINK("https://my.zakupivli.pro/remote/dispatcher/state_purchase_view/57923524", "UA-2025-03-06-009230-a")</f>
        <v>UA-2025-03-06-009230-a</v>
      </c>
      <c r="C775" s="1" t="s">
        <v>22</v>
      </c>
      <c r="D775" s="1" t="s">
        <v>1042</v>
      </c>
      <c r="E775" s="1" t="s">
        <v>1553</v>
      </c>
      <c r="F775" s="1" t="s">
        <v>87</v>
      </c>
      <c r="G775" s="1" t="s">
        <v>1623</v>
      </c>
      <c r="H775" s="1" t="s">
        <v>579</v>
      </c>
      <c r="I775" s="1" t="s">
        <v>195</v>
      </c>
      <c r="J775" s="6">
        <v>60000</v>
      </c>
      <c r="K775" s="5">
        <v>45722</v>
      </c>
      <c r="L775" s="7">
        <v>46022</v>
      </c>
    </row>
    <row r="776" spans="1:12" hidden="1" x14ac:dyDescent="0.25">
      <c r="A776" s="4">
        <v>770</v>
      </c>
      <c r="B776" s="2" t="str">
        <f>HYPERLINK("https://my.zakupivli.pro/remote/dispatcher/state_purchase_view/57921829", "UA-2025-03-06-008368-a")</f>
        <v>UA-2025-03-06-008368-a</v>
      </c>
      <c r="C776" s="1" t="s">
        <v>2038</v>
      </c>
      <c r="D776" s="1" t="s">
        <v>342</v>
      </c>
      <c r="E776" s="1" t="s">
        <v>1553</v>
      </c>
      <c r="F776" s="1" t="s">
        <v>87</v>
      </c>
      <c r="G776" s="1" t="s">
        <v>1623</v>
      </c>
      <c r="H776" s="1" t="s">
        <v>579</v>
      </c>
      <c r="I776" s="1" t="s">
        <v>196</v>
      </c>
      <c r="J776" s="6">
        <v>2050</v>
      </c>
      <c r="K776" s="5">
        <v>45722</v>
      </c>
      <c r="L776" s="7">
        <v>45747</v>
      </c>
    </row>
    <row r="777" spans="1:12" hidden="1" x14ac:dyDescent="0.25">
      <c r="A777" s="4">
        <v>771</v>
      </c>
      <c r="B777" s="2" t="str">
        <f>HYPERLINK("https://my.zakupivli.pro/remote/dispatcher/state_purchase_view/57921334", "UA-2025-03-06-008159-a")</f>
        <v>UA-2025-03-06-008159-a</v>
      </c>
      <c r="C777" s="1" t="s">
        <v>2005</v>
      </c>
      <c r="D777" s="1" t="s">
        <v>669</v>
      </c>
      <c r="E777" s="1" t="s">
        <v>1553</v>
      </c>
      <c r="F777" s="1" t="s">
        <v>87</v>
      </c>
      <c r="G777" s="1" t="s">
        <v>1581</v>
      </c>
      <c r="H777" s="1" t="s">
        <v>559</v>
      </c>
      <c r="I777" s="1" t="s">
        <v>193</v>
      </c>
      <c r="J777" s="6">
        <v>13500</v>
      </c>
      <c r="K777" s="5">
        <v>45722</v>
      </c>
      <c r="L777" s="7">
        <v>45747</v>
      </c>
    </row>
    <row r="778" spans="1:12" hidden="1" x14ac:dyDescent="0.25">
      <c r="A778" s="4">
        <v>772</v>
      </c>
      <c r="B778" s="2" t="str">
        <f>HYPERLINK("https://my.zakupivli.pro/remote/dispatcher/state_purchase_view/57920417", "UA-2025-03-06-007768-a")</f>
        <v>UA-2025-03-06-007768-a</v>
      </c>
      <c r="C778" s="1" t="s">
        <v>1703</v>
      </c>
      <c r="D778" s="1" t="s">
        <v>1300</v>
      </c>
      <c r="E778" s="1" t="s">
        <v>1553</v>
      </c>
      <c r="F778" s="1" t="s">
        <v>87</v>
      </c>
      <c r="G778" s="1" t="s">
        <v>1562</v>
      </c>
      <c r="H778" s="1" t="s">
        <v>109</v>
      </c>
      <c r="I778" s="1" t="s">
        <v>237</v>
      </c>
      <c r="J778" s="6">
        <v>2850</v>
      </c>
      <c r="K778" s="5">
        <v>45722</v>
      </c>
      <c r="L778" s="7">
        <v>46022</v>
      </c>
    </row>
    <row r="779" spans="1:12" hidden="1" x14ac:dyDescent="0.25">
      <c r="A779" s="4">
        <v>773</v>
      </c>
      <c r="B779" s="2" t="str">
        <f>HYPERLINK("https://my.zakupivli.pro/remote/dispatcher/state_purchase_view/57920265", "UA-2025-03-06-007676-a")</f>
        <v>UA-2025-03-06-007676-a</v>
      </c>
      <c r="C779" s="1" t="s">
        <v>2033</v>
      </c>
      <c r="D779" s="1" t="s">
        <v>744</v>
      </c>
      <c r="E779" s="1" t="s">
        <v>1553</v>
      </c>
      <c r="F779" s="1" t="s">
        <v>87</v>
      </c>
      <c r="G779" s="1" t="s">
        <v>2219</v>
      </c>
      <c r="H779" s="1" t="s">
        <v>818</v>
      </c>
      <c r="I779" s="1" t="s">
        <v>221</v>
      </c>
      <c r="J779" s="6">
        <v>162379.70000000001</v>
      </c>
      <c r="K779" s="5">
        <v>45744</v>
      </c>
      <c r="L779" s="7">
        <v>45902</v>
      </c>
    </row>
    <row r="780" spans="1:12" hidden="1" x14ac:dyDescent="0.25">
      <c r="A780" s="4">
        <v>774</v>
      </c>
      <c r="B780" s="2" t="str">
        <f>HYPERLINK("https://my.zakupivli.pro/remote/dispatcher/state_purchase_view/57858229", "UA-2025-03-04-010966-a")</f>
        <v>UA-2025-03-04-010966-a</v>
      </c>
      <c r="C780" s="1" t="s">
        <v>1523</v>
      </c>
      <c r="D780" s="1" t="s">
        <v>1199</v>
      </c>
      <c r="E780" s="1" t="s">
        <v>1553</v>
      </c>
      <c r="F780" s="1" t="s">
        <v>87</v>
      </c>
      <c r="G780" s="1" t="s">
        <v>1374</v>
      </c>
      <c r="H780" s="1" t="s">
        <v>410</v>
      </c>
      <c r="I780" s="1" t="s">
        <v>235</v>
      </c>
      <c r="J780" s="6">
        <v>23219.26</v>
      </c>
      <c r="K780" s="5">
        <v>45719</v>
      </c>
      <c r="L780" s="7">
        <v>46022</v>
      </c>
    </row>
    <row r="781" spans="1:12" hidden="1" x14ac:dyDescent="0.25">
      <c r="A781" s="4">
        <v>775</v>
      </c>
      <c r="B781" s="2" t="str">
        <f>HYPERLINK("https://my.zakupivli.pro/remote/dispatcher/state_purchase_view/57857868", "UA-2025-03-04-010716-a")</f>
        <v>UA-2025-03-04-010716-a</v>
      </c>
      <c r="C781" s="1" t="s">
        <v>1699</v>
      </c>
      <c r="D781" s="1" t="s">
        <v>1300</v>
      </c>
      <c r="E781" s="1" t="s">
        <v>1553</v>
      </c>
      <c r="F781" s="1" t="s">
        <v>87</v>
      </c>
      <c r="G781" s="1" t="s">
        <v>1767</v>
      </c>
      <c r="H781" s="1" t="s">
        <v>946</v>
      </c>
      <c r="I781" s="1" t="s">
        <v>1745</v>
      </c>
      <c r="J781" s="6">
        <v>10000</v>
      </c>
      <c r="K781" s="5">
        <v>45719</v>
      </c>
      <c r="L781" s="7">
        <v>46022</v>
      </c>
    </row>
    <row r="782" spans="1:12" hidden="1" x14ac:dyDescent="0.25">
      <c r="A782" s="4">
        <v>776</v>
      </c>
      <c r="B782" s="2" t="str">
        <f>HYPERLINK("https://my.zakupivli.pro/remote/dispatcher/state_purchase_view/57856675", "UA-2025-03-04-010233-a")</f>
        <v>UA-2025-03-04-010233-a</v>
      </c>
      <c r="C782" s="1" t="s">
        <v>1697</v>
      </c>
      <c r="D782" s="1" t="s">
        <v>708</v>
      </c>
      <c r="E782" s="1" t="s">
        <v>1553</v>
      </c>
      <c r="F782" s="1" t="s">
        <v>87</v>
      </c>
      <c r="G782" s="1" t="s">
        <v>2081</v>
      </c>
      <c r="H782" s="1" t="s">
        <v>828</v>
      </c>
      <c r="I782" s="1" t="s">
        <v>209</v>
      </c>
      <c r="J782" s="6">
        <v>75178.2</v>
      </c>
      <c r="K782" s="5">
        <v>45740</v>
      </c>
      <c r="L782" s="7">
        <v>45768</v>
      </c>
    </row>
    <row r="783" spans="1:12" hidden="1" x14ac:dyDescent="0.25">
      <c r="A783" s="4">
        <v>777</v>
      </c>
      <c r="B783" s="2" t="str">
        <f>HYPERLINK("https://my.zakupivli.pro/remote/dispatcher/state_purchase_view/57852034", "UA-2025-03-04-008187-a")</f>
        <v>UA-2025-03-04-008187-a</v>
      </c>
      <c r="C783" s="1" t="s">
        <v>1360</v>
      </c>
      <c r="D783" s="1" t="s">
        <v>706</v>
      </c>
      <c r="E783" s="1" t="s">
        <v>1553</v>
      </c>
      <c r="F783" s="1" t="s">
        <v>87</v>
      </c>
      <c r="G783" s="1" t="s">
        <v>1377</v>
      </c>
      <c r="H783" s="1" t="s">
        <v>240</v>
      </c>
      <c r="I783" s="1" t="s">
        <v>146</v>
      </c>
      <c r="J783" s="6">
        <v>13668.18</v>
      </c>
      <c r="K783" s="5">
        <v>45719</v>
      </c>
      <c r="L783" s="7">
        <v>46022</v>
      </c>
    </row>
    <row r="784" spans="1:12" hidden="1" x14ac:dyDescent="0.25">
      <c r="A784" s="4">
        <v>778</v>
      </c>
      <c r="B784" s="2" t="str">
        <f>HYPERLINK("https://my.zakupivli.pro/remote/dispatcher/state_purchase_view/57826755", "UA-2025-03-03-010276-a")</f>
        <v>UA-2025-03-03-010276-a</v>
      </c>
      <c r="C784" s="1" t="s">
        <v>1946</v>
      </c>
      <c r="D784" s="1" t="s">
        <v>1300</v>
      </c>
      <c r="E784" s="1" t="s">
        <v>1553</v>
      </c>
      <c r="F784" s="1" t="s">
        <v>87</v>
      </c>
      <c r="G784" s="1" t="s">
        <v>2137</v>
      </c>
      <c r="H784" s="1" t="s">
        <v>836</v>
      </c>
      <c r="I784" s="1" t="s">
        <v>236</v>
      </c>
      <c r="J784" s="6">
        <v>3096</v>
      </c>
      <c r="K784" s="5">
        <v>45719</v>
      </c>
      <c r="L784" s="7">
        <v>46022</v>
      </c>
    </row>
    <row r="785" spans="1:12" hidden="1" x14ac:dyDescent="0.25">
      <c r="A785" s="4">
        <v>779</v>
      </c>
      <c r="B785" s="2" t="str">
        <f>HYPERLINK("https://my.zakupivli.pro/remote/dispatcher/state_purchase_view/57825795", "UA-2025-03-03-009808-a")</f>
        <v>UA-2025-03-03-009808-a</v>
      </c>
      <c r="C785" s="1" t="s">
        <v>25</v>
      </c>
      <c r="D785" s="1" t="s">
        <v>340</v>
      </c>
      <c r="E785" s="1" t="s">
        <v>1553</v>
      </c>
      <c r="F785" s="1" t="s">
        <v>87</v>
      </c>
      <c r="G785" s="1" t="s">
        <v>1759</v>
      </c>
      <c r="H785" s="1" t="s">
        <v>295</v>
      </c>
      <c r="I785" s="1" t="s">
        <v>188</v>
      </c>
      <c r="J785" s="6">
        <v>1078</v>
      </c>
      <c r="K785" s="5">
        <v>45719</v>
      </c>
      <c r="L785" s="7">
        <v>45747</v>
      </c>
    </row>
    <row r="786" spans="1:12" hidden="1" x14ac:dyDescent="0.25">
      <c r="A786" s="4">
        <v>780</v>
      </c>
      <c r="B786" s="2" t="str">
        <f>HYPERLINK("https://my.zakupivli.pro/remote/dispatcher/state_purchase_view/57812806", "UA-2025-03-03-004085-a")</f>
        <v>UA-2025-03-03-004085-a</v>
      </c>
      <c r="C786" s="1" t="s">
        <v>1826</v>
      </c>
      <c r="D786" s="1" t="s">
        <v>1261</v>
      </c>
      <c r="E786" s="1" t="s">
        <v>1553</v>
      </c>
      <c r="F786" s="1" t="s">
        <v>87</v>
      </c>
      <c r="G786" s="1" t="s">
        <v>2164</v>
      </c>
      <c r="H786" s="1" t="s">
        <v>808</v>
      </c>
      <c r="I786" s="1" t="s">
        <v>1757</v>
      </c>
      <c r="J786" s="6">
        <v>126</v>
      </c>
      <c r="K786" s="5">
        <v>45719</v>
      </c>
      <c r="L786" s="7">
        <v>46022</v>
      </c>
    </row>
    <row r="787" spans="1:12" hidden="1" x14ac:dyDescent="0.25">
      <c r="A787" s="4">
        <v>781</v>
      </c>
      <c r="B787" s="2" t="str">
        <f>HYPERLINK("https://my.zakupivli.pro/remote/dispatcher/state_purchase_view/57812182", "UA-2025-03-03-003811-a")</f>
        <v>UA-2025-03-03-003811-a</v>
      </c>
      <c r="C787" s="1" t="s">
        <v>2010</v>
      </c>
      <c r="D787" s="1" t="s">
        <v>728</v>
      </c>
      <c r="E787" s="1" t="s">
        <v>1553</v>
      </c>
      <c r="F787" s="1" t="s">
        <v>87</v>
      </c>
      <c r="G787" s="1"/>
      <c r="H787" s="1"/>
      <c r="I787" s="1"/>
      <c r="J787" s="1"/>
      <c r="K787" s="1" t="s">
        <v>53</v>
      </c>
      <c r="L787" s="1"/>
    </row>
    <row r="788" spans="1:12" hidden="1" x14ac:dyDescent="0.25">
      <c r="A788" s="4">
        <v>782</v>
      </c>
      <c r="B788" s="2" t="str">
        <f>HYPERLINK("https://my.zakupivli.pro/remote/dispatcher/state_purchase_view/57723196", "UA-2025-02-26-003692-a")</f>
        <v>UA-2025-02-26-003692-a</v>
      </c>
      <c r="C788" s="1" t="s">
        <v>1433</v>
      </c>
      <c r="D788" s="1" t="s">
        <v>851</v>
      </c>
      <c r="E788" s="1" t="s">
        <v>1553</v>
      </c>
      <c r="F788" s="1" t="s">
        <v>87</v>
      </c>
      <c r="G788" s="1" t="s">
        <v>2111</v>
      </c>
      <c r="H788" s="1" t="s">
        <v>460</v>
      </c>
      <c r="I788" s="1" t="s">
        <v>466</v>
      </c>
      <c r="J788" s="6">
        <v>880</v>
      </c>
      <c r="K788" s="5">
        <v>45714</v>
      </c>
      <c r="L788" s="7">
        <v>45747</v>
      </c>
    </row>
    <row r="789" spans="1:12" hidden="1" x14ac:dyDescent="0.25">
      <c r="A789" s="4">
        <v>783</v>
      </c>
      <c r="B789" s="2" t="str">
        <f>HYPERLINK("https://my.zakupivli.pro/remote/dispatcher/state_purchase_view/57705092", "UA-2025-02-25-010503-a")</f>
        <v>UA-2025-02-25-010503-a</v>
      </c>
      <c r="C789" s="1" t="s">
        <v>1917</v>
      </c>
      <c r="D789" s="1" t="s">
        <v>1258</v>
      </c>
      <c r="E789" s="1" t="s">
        <v>1553</v>
      </c>
      <c r="F789" s="1" t="s">
        <v>87</v>
      </c>
      <c r="G789" s="1" t="s">
        <v>2132</v>
      </c>
      <c r="H789" s="1" t="s">
        <v>1082</v>
      </c>
      <c r="I789" s="1" t="s">
        <v>185</v>
      </c>
      <c r="J789" s="6">
        <v>3900</v>
      </c>
      <c r="K789" s="5">
        <v>45713</v>
      </c>
      <c r="L789" s="7">
        <v>46022</v>
      </c>
    </row>
    <row r="790" spans="1:12" hidden="1" x14ac:dyDescent="0.25">
      <c r="A790" s="4">
        <v>784</v>
      </c>
      <c r="B790" s="2" t="str">
        <f>HYPERLINK("https://my.zakupivli.pro/remote/dispatcher/state_purchase_view/57698689", "UA-2025-02-25-007560-a")</f>
        <v>UA-2025-02-25-007560-a</v>
      </c>
      <c r="C790" s="1" t="s">
        <v>14</v>
      </c>
      <c r="D790" s="1" t="s">
        <v>758</v>
      </c>
      <c r="E790" s="1" t="s">
        <v>1553</v>
      </c>
      <c r="F790" s="1" t="s">
        <v>87</v>
      </c>
      <c r="G790" s="1" t="s">
        <v>1645</v>
      </c>
      <c r="H790" s="1" t="s">
        <v>801</v>
      </c>
      <c r="I790" s="1" t="s">
        <v>184</v>
      </c>
      <c r="J790" s="6">
        <v>5985</v>
      </c>
      <c r="K790" s="5">
        <v>45713</v>
      </c>
      <c r="L790" s="7">
        <v>45747</v>
      </c>
    </row>
    <row r="791" spans="1:12" hidden="1" x14ac:dyDescent="0.25">
      <c r="A791" s="4">
        <v>785</v>
      </c>
      <c r="B791" s="2" t="str">
        <f>HYPERLINK("https://my.zakupivli.pro/remote/dispatcher/state_purchase_view/57698276", "UA-2025-02-25-007375-a")</f>
        <v>UA-2025-02-25-007375-a</v>
      </c>
      <c r="C791" s="1" t="s">
        <v>2052</v>
      </c>
      <c r="D791" s="1" t="s">
        <v>697</v>
      </c>
      <c r="E791" s="1" t="s">
        <v>1553</v>
      </c>
      <c r="F791" s="1" t="s">
        <v>87</v>
      </c>
      <c r="G791" s="1" t="s">
        <v>1622</v>
      </c>
      <c r="H791" s="1" t="s">
        <v>539</v>
      </c>
      <c r="I791" s="1" t="s">
        <v>183</v>
      </c>
      <c r="J791" s="6">
        <v>5349</v>
      </c>
      <c r="K791" s="5">
        <v>45712</v>
      </c>
      <c r="L791" s="7">
        <v>46022</v>
      </c>
    </row>
    <row r="792" spans="1:12" hidden="1" x14ac:dyDescent="0.25">
      <c r="A792" s="4">
        <v>786</v>
      </c>
      <c r="B792" s="2" t="str">
        <f>HYPERLINK("https://my.zakupivli.pro/remote/dispatcher/state_purchase_view/57694863", "UA-2025-02-25-005807-a")</f>
        <v>UA-2025-02-25-005807-a</v>
      </c>
      <c r="C792" s="1" t="s">
        <v>1899</v>
      </c>
      <c r="D792" s="1" t="s">
        <v>1062</v>
      </c>
      <c r="E792" s="1" t="s">
        <v>1553</v>
      </c>
      <c r="F792" s="1" t="s">
        <v>87</v>
      </c>
      <c r="G792" s="1" t="s">
        <v>2015</v>
      </c>
      <c r="H792" s="1" t="s">
        <v>505</v>
      </c>
      <c r="I792" s="1" t="s">
        <v>182</v>
      </c>
      <c r="J792" s="6">
        <v>49070</v>
      </c>
      <c r="K792" s="5">
        <v>45713</v>
      </c>
      <c r="L792" s="7">
        <v>46022</v>
      </c>
    </row>
    <row r="793" spans="1:12" hidden="1" x14ac:dyDescent="0.25">
      <c r="A793" s="4">
        <v>787</v>
      </c>
      <c r="B793" s="2" t="str">
        <f>HYPERLINK("https://my.zakupivli.pro/remote/dispatcher/state_purchase_view/57694235", "UA-2025-02-25-005502-a")</f>
        <v>UA-2025-02-25-005502-a</v>
      </c>
      <c r="C793" s="1" t="s">
        <v>1857</v>
      </c>
      <c r="D793" s="1" t="s">
        <v>1157</v>
      </c>
      <c r="E793" s="1" t="s">
        <v>1553</v>
      </c>
      <c r="F793" s="1" t="s">
        <v>87</v>
      </c>
      <c r="G793" s="1" t="s">
        <v>2212</v>
      </c>
      <c r="H793" s="1" t="s">
        <v>934</v>
      </c>
      <c r="I793" s="1" t="s">
        <v>2269</v>
      </c>
      <c r="J793" s="6">
        <v>3960</v>
      </c>
      <c r="K793" s="5">
        <v>45713</v>
      </c>
      <c r="L793" s="7">
        <v>46022</v>
      </c>
    </row>
    <row r="794" spans="1:12" hidden="1" x14ac:dyDescent="0.25">
      <c r="A794" s="4">
        <v>788</v>
      </c>
      <c r="B794" s="2" t="str">
        <f>HYPERLINK("https://my.zakupivli.pro/remote/dispatcher/state_purchase_view/57692844", "UA-2025-02-25-004871-a")</f>
        <v>UA-2025-02-25-004871-a</v>
      </c>
      <c r="C794" s="1" t="s">
        <v>1734</v>
      </c>
      <c r="D794" s="1" t="s">
        <v>1292</v>
      </c>
      <c r="E794" s="1" t="s">
        <v>1553</v>
      </c>
      <c r="F794" s="1" t="s">
        <v>87</v>
      </c>
      <c r="G794" s="1" t="s">
        <v>2212</v>
      </c>
      <c r="H794" s="1" t="s">
        <v>934</v>
      </c>
      <c r="I794" s="1" t="s">
        <v>2268</v>
      </c>
      <c r="J794" s="6">
        <v>43224</v>
      </c>
      <c r="K794" s="5">
        <v>45713</v>
      </c>
      <c r="L794" s="7">
        <v>46022</v>
      </c>
    </row>
    <row r="795" spans="1:12" hidden="1" x14ac:dyDescent="0.25">
      <c r="A795" s="4">
        <v>789</v>
      </c>
      <c r="B795" s="2" t="str">
        <f>HYPERLINK("https://my.zakupivli.pro/remote/dispatcher/state_purchase_view/57674843", "UA-2025-02-24-011935-a")</f>
        <v>UA-2025-02-24-011935-a</v>
      </c>
      <c r="C795" s="1" t="s">
        <v>2285</v>
      </c>
      <c r="D795" s="1" t="s">
        <v>695</v>
      </c>
      <c r="E795" s="1" t="s">
        <v>1553</v>
      </c>
      <c r="F795" s="1" t="s">
        <v>87</v>
      </c>
      <c r="G795" s="1" t="s">
        <v>2237</v>
      </c>
      <c r="H795" s="1" t="s">
        <v>562</v>
      </c>
      <c r="I795" s="1" t="s">
        <v>1100</v>
      </c>
      <c r="J795" s="6">
        <v>788681</v>
      </c>
      <c r="K795" s="5">
        <v>45726</v>
      </c>
      <c r="L795" s="7">
        <v>46048</v>
      </c>
    </row>
    <row r="796" spans="1:12" hidden="1" x14ac:dyDescent="0.25">
      <c r="A796" s="4">
        <v>790</v>
      </c>
      <c r="B796" s="2" t="str">
        <f>HYPERLINK("https://my.zakupivli.pro/remote/dispatcher/state_purchase_view/57672351", "UA-2025-02-24-010747-a")</f>
        <v>UA-2025-02-24-010747-a</v>
      </c>
      <c r="C796" s="1" t="s">
        <v>1855</v>
      </c>
      <c r="D796" s="1" t="s">
        <v>1159</v>
      </c>
      <c r="E796" s="1" t="s">
        <v>1553</v>
      </c>
      <c r="F796" s="1" t="s">
        <v>87</v>
      </c>
      <c r="G796" s="1" t="s">
        <v>2177</v>
      </c>
      <c r="H796" s="1" t="s">
        <v>400</v>
      </c>
      <c r="I796" s="1" t="s">
        <v>1119</v>
      </c>
      <c r="J796" s="6">
        <v>435.43</v>
      </c>
      <c r="K796" s="5">
        <v>45712</v>
      </c>
      <c r="L796" s="7">
        <v>46022</v>
      </c>
    </row>
    <row r="797" spans="1:12" hidden="1" x14ac:dyDescent="0.25">
      <c r="A797" s="4">
        <v>791</v>
      </c>
      <c r="B797" s="2" t="str">
        <f>HYPERLINK("https://my.zakupivli.pro/remote/dispatcher/state_purchase_view/57671645", "UA-2025-02-24-010431-a")</f>
        <v>UA-2025-02-24-010431-a</v>
      </c>
      <c r="C797" s="1" t="s">
        <v>1937</v>
      </c>
      <c r="D797" s="1" t="s">
        <v>856</v>
      </c>
      <c r="E797" s="1" t="s">
        <v>1553</v>
      </c>
      <c r="F797" s="1" t="s">
        <v>87</v>
      </c>
      <c r="G797" s="1" t="s">
        <v>2265</v>
      </c>
      <c r="H797" s="1" t="s">
        <v>636</v>
      </c>
      <c r="I797" s="1" t="s">
        <v>168</v>
      </c>
      <c r="J797" s="6">
        <v>18962</v>
      </c>
      <c r="K797" s="5">
        <v>45712</v>
      </c>
      <c r="L797" s="7">
        <v>46022</v>
      </c>
    </row>
    <row r="798" spans="1:12" hidden="1" x14ac:dyDescent="0.25">
      <c r="A798" s="4">
        <v>792</v>
      </c>
      <c r="B798" s="2" t="str">
        <f>HYPERLINK("https://my.zakupivli.pro/remote/dispatcher/state_purchase_view/57670248", "UA-2025-02-24-009805-a")</f>
        <v>UA-2025-02-24-009805-a</v>
      </c>
      <c r="C798" s="1" t="s">
        <v>1730</v>
      </c>
      <c r="D798" s="1" t="s">
        <v>483</v>
      </c>
      <c r="E798" s="1" t="s">
        <v>1553</v>
      </c>
      <c r="F798" s="1" t="s">
        <v>87</v>
      </c>
      <c r="G798" s="1" t="s">
        <v>2036</v>
      </c>
      <c r="H798" s="1" t="s">
        <v>766</v>
      </c>
      <c r="I798" s="1" t="s">
        <v>169</v>
      </c>
      <c r="J798" s="6">
        <v>53173.59</v>
      </c>
      <c r="K798" s="5">
        <v>45712</v>
      </c>
      <c r="L798" s="7">
        <v>46022</v>
      </c>
    </row>
    <row r="799" spans="1:12" hidden="1" x14ac:dyDescent="0.25">
      <c r="A799" s="4">
        <v>793</v>
      </c>
      <c r="B799" s="2" t="str">
        <f>HYPERLINK("https://my.zakupivli.pro/remote/dispatcher/state_purchase_view/57667625", "UA-2025-02-24-008633-a")</f>
        <v>UA-2025-02-24-008633-a</v>
      </c>
      <c r="C799" s="1" t="s">
        <v>7</v>
      </c>
      <c r="D799" s="1" t="s">
        <v>234</v>
      </c>
      <c r="E799" s="1" t="s">
        <v>1553</v>
      </c>
      <c r="F799" s="1" t="s">
        <v>87</v>
      </c>
      <c r="G799" s="1" t="s">
        <v>1623</v>
      </c>
      <c r="H799" s="1" t="s">
        <v>579</v>
      </c>
      <c r="I799" s="1" t="s">
        <v>180</v>
      </c>
      <c r="J799" s="6">
        <v>25170</v>
      </c>
      <c r="K799" s="5">
        <v>45712</v>
      </c>
      <c r="L799" s="7">
        <v>45716</v>
      </c>
    </row>
    <row r="800" spans="1:12" hidden="1" x14ac:dyDescent="0.25">
      <c r="A800" s="4">
        <v>794</v>
      </c>
      <c r="B800" s="2" t="str">
        <f>HYPERLINK("https://my.zakupivli.pro/remote/dispatcher/state_purchase_view/57667322", "UA-2025-02-24-008419-a")</f>
        <v>UA-2025-02-24-008419-a</v>
      </c>
      <c r="C800" s="1" t="s">
        <v>1569</v>
      </c>
      <c r="D800" s="1" t="s">
        <v>242</v>
      </c>
      <c r="E800" s="1" t="s">
        <v>1553</v>
      </c>
      <c r="F800" s="1" t="s">
        <v>87</v>
      </c>
      <c r="G800" s="1" t="s">
        <v>1623</v>
      </c>
      <c r="H800" s="1" t="s">
        <v>579</v>
      </c>
      <c r="I800" s="1" t="s">
        <v>178</v>
      </c>
      <c r="J800" s="6">
        <v>360</v>
      </c>
      <c r="K800" s="5">
        <v>45712</v>
      </c>
      <c r="L800" s="7">
        <v>45716</v>
      </c>
    </row>
    <row r="801" spans="1:12" hidden="1" x14ac:dyDescent="0.25">
      <c r="A801" s="4">
        <v>795</v>
      </c>
      <c r="B801" s="2" t="str">
        <f>HYPERLINK("https://my.zakupivli.pro/remote/dispatcher/state_purchase_view/57666840", "UA-2025-02-24-008226-a")</f>
        <v>UA-2025-02-24-008226-a</v>
      </c>
      <c r="C801" s="1" t="s">
        <v>48</v>
      </c>
      <c r="D801" s="1" t="s">
        <v>880</v>
      </c>
      <c r="E801" s="1" t="s">
        <v>1553</v>
      </c>
      <c r="F801" s="1" t="s">
        <v>87</v>
      </c>
      <c r="G801" s="1" t="s">
        <v>1623</v>
      </c>
      <c r="H801" s="1" t="s">
        <v>579</v>
      </c>
      <c r="I801" s="1" t="s">
        <v>181</v>
      </c>
      <c r="J801" s="6">
        <v>2338</v>
      </c>
      <c r="K801" s="5">
        <v>45712</v>
      </c>
      <c r="L801" s="7">
        <v>45716</v>
      </c>
    </row>
    <row r="802" spans="1:12" hidden="1" x14ac:dyDescent="0.25">
      <c r="A802" s="4">
        <v>796</v>
      </c>
      <c r="B802" s="2" t="str">
        <f>HYPERLINK("https://my.zakupivli.pro/remote/dispatcher/state_purchase_view/57639185", "UA-2025-02-21-008995-a")</f>
        <v>UA-2025-02-21-008995-a</v>
      </c>
      <c r="C802" s="1" t="s">
        <v>1666</v>
      </c>
      <c r="D802" s="1" t="s">
        <v>1313</v>
      </c>
      <c r="E802" s="1" t="s">
        <v>1553</v>
      </c>
      <c r="F802" s="1" t="s">
        <v>87</v>
      </c>
      <c r="G802" s="1" t="s">
        <v>1555</v>
      </c>
      <c r="H802" s="1" t="s">
        <v>86</v>
      </c>
      <c r="I802" s="1" t="s">
        <v>1129</v>
      </c>
      <c r="J802" s="6">
        <v>619</v>
      </c>
      <c r="K802" s="5">
        <v>45708</v>
      </c>
      <c r="L802" s="7">
        <v>46022</v>
      </c>
    </row>
    <row r="803" spans="1:12" hidden="1" x14ac:dyDescent="0.25">
      <c r="A803" s="4">
        <v>797</v>
      </c>
      <c r="B803" s="2" t="str">
        <f>HYPERLINK("https://my.zakupivli.pro/remote/dispatcher/state_purchase_view/57638113", "UA-2025-02-21-008539-a")</f>
        <v>UA-2025-02-21-008539-a</v>
      </c>
      <c r="C803" s="1" t="s">
        <v>1666</v>
      </c>
      <c r="D803" s="1" t="s">
        <v>1313</v>
      </c>
      <c r="E803" s="1" t="s">
        <v>1553</v>
      </c>
      <c r="F803" s="1" t="s">
        <v>87</v>
      </c>
      <c r="G803" s="1" t="s">
        <v>1555</v>
      </c>
      <c r="H803" s="1" t="s">
        <v>86</v>
      </c>
      <c r="I803" s="1" t="s">
        <v>1137</v>
      </c>
      <c r="J803" s="6">
        <v>2717</v>
      </c>
      <c r="K803" s="5">
        <v>45708</v>
      </c>
      <c r="L803" s="7">
        <v>46022</v>
      </c>
    </row>
    <row r="804" spans="1:12" hidden="1" x14ac:dyDescent="0.25">
      <c r="A804" s="4">
        <v>798</v>
      </c>
      <c r="B804" s="2" t="str">
        <f>HYPERLINK("https://my.zakupivli.pro/remote/dispatcher/state_purchase_view/57628283", "UA-2025-02-21-004132-a")</f>
        <v>UA-2025-02-21-004132-a</v>
      </c>
      <c r="C804" s="1" t="s">
        <v>1728</v>
      </c>
      <c r="D804" s="1" t="s">
        <v>1304</v>
      </c>
      <c r="E804" s="1" t="s">
        <v>1553</v>
      </c>
      <c r="F804" s="1" t="s">
        <v>87</v>
      </c>
      <c r="G804" s="1" t="s">
        <v>1563</v>
      </c>
      <c r="H804" s="1" t="s">
        <v>115</v>
      </c>
      <c r="I804" s="1" t="s">
        <v>332</v>
      </c>
      <c r="J804" s="6">
        <v>445</v>
      </c>
      <c r="K804" s="5">
        <v>45709</v>
      </c>
      <c r="L804" s="7">
        <v>46022</v>
      </c>
    </row>
    <row r="805" spans="1:12" hidden="1" x14ac:dyDescent="0.25">
      <c r="A805" s="4">
        <v>799</v>
      </c>
      <c r="B805" s="2" t="str">
        <f>HYPERLINK("https://my.zakupivli.pro/remote/dispatcher/state_purchase_view/57627850", "UA-2025-02-21-003936-a")</f>
        <v>UA-2025-02-21-003936-a</v>
      </c>
      <c r="C805" s="1" t="s">
        <v>1728</v>
      </c>
      <c r="D805" s="1" t="s">
        <v>1304</v>
      </c>
      <c r="E805" s="1" t="s">
        <v>1553</v>
      </c>
      <c r="F805" s="1" t="s">
        <v>87</v>
      </c>
      <c r="G805" s="1" t="s">
        <v>1563</v>
      </c>
      <c r="H805" s="1" t="s">
        <v>115</v>
      </c>
      <c r="I805" s="1" t="s">
        <v>327</v>
      </c>
      <c r="J805" s="6">
        <v>14462.5</v>
      </c>
      <c r="K805" s="5">
        <v>45709</v>
      </c>
      <c r="L805" s="7">
        <v>46022</v>
      </c>
    </row>
    <row r="806" spans="1:12" hidden="1" x14ac:dyDescent="0.25">
      <c r="A806" s="4">
        <v>800</v>
      </c>
      <c r="B806" s="2" t="str">
        <f>HYPERLINK("https://my.zakupivli.pro/remote/dispatcher/state_purchase_view/57627312", "UA-2025-02-21-003682-a")</f>
        <v>UA-2025-02-21-003682-a</v>
      </c>
      <c r="C806" s="1" t="s">
        <v>37</v>
      </c>
      <c r="D806" s="1" t="s">
        <v>1144</v>
      </c>
      <c r="E806" s="1" t="s">
        <v>1553</v>
      </c>
      <c r="F806" s="1" t="s">
        <v>87</v>
      </c>
      <c r="G806" s="1" t="s">
        <v>1743</v>
      </c>
      <c r="H806" s="1" t="s">
        <v>538</v>
      </c>
      <c r="I806" s="1" t="s">
        <v>334</v>
      </c>
      <c r="J806" s="6">
        <v>77700</v>
      </c>
      <c r="K806" s="5">
        <v>45709</v>
      </c>
      <c r="L806" s="7">
        <v>46022</v>
      </c>
    </row>
    <row r="807" spans="1:12" hidden="1" x14ac:dyDescent="0.25">
      <c r="A807" s="4">
        <v>801</v>
      </c>
      <c r="B807" s="2" t="str">
        <f>HYPERLINK("https://my.zakupivli.pro/remote/dispatcher/state_purchase_view/57606358", "UA-2025-02-20-008067-a")</f>
        <v>UA-2025-02-20-008067-a</v>
      </c>
      <c r="C807" s="1" t="s">
        <v>1941</v>
      </c>
      <c r="D807" s="1" t="s">
        <v>717</v>
      </c>
      <c r="E807" s="1" t="s">
        <v>1553</v>
      </c>
      <c r="F807" s="1" t="s">
        <v>87</v>
      </c>
      <c r="G807" s="1" t="s">
        <v>2228</v>
      </c>
      <c r="H807" s="1" t="s">
        <v>625</v>
      </c>
      <c r="I807" s="1" t="s">
        <v>198</v>
      </c>
      <c r="J807" s="6">
        <v>461045</v>
      </c>
      <c r="K807" s="5">
        <v>45726</v>
      </c>
      <c r="L807" s="7">
        <v>46028</v>
      </c>
    </row>
    <row r="808" spans="1:12" hidden="1" x14ac:dyDescent="0.25">
      <c r="A808" s="4">
        <v>802</v>
      </c>
      <c r="B808" s="2" t="str">
        <f>HYPERLINK("https://my.zakupivli.pro/remote/dispatcher/state_purchase_view/57594065", "UA-2025-02-20-002621-a")</f>
        <v>UA-2025-02-20-002621-a</v>
      </c>
      <c r="C808" s="1" t="s">
        <v>1940</v>
      </c>
      <c r="D808" s="1" t="s">
        <v>717</v>
      </c>
      <c r="E808" s="1" t="s">
        <v>1553</v>
      </c>
      <c r="F808" s="1" t="s">
        <v>87</v>
      </c>
      <c r="G808" s="1"/>
      <c r="H808" s="1"/>
      <c r="I808" s="1"/>
      <c r="J808" s="1"/>
      <c r="K808" s="1" t="s">
        <v>53</v>
      </c>
      <c r="L808" s="1"/>
    </row>
    <row r="809" spans="1:12" hidden="1" x14ac:dyDescent="0.25">
      <c r="A809" s="4">
        <v>803</v>
      </c>
      <c r="B809" s="2" t="str">
        <f>HYPERLINK("https://my.zakupivli.pro/remote/dispatcher/state_purchase_view/57593153", "UA-2025-02-20-002235-a")</f>
        <v>UA-2025-02-20-002235-a</v>
      </c>
      <c r="C809" s="1" t="s">
        <v>1387</v>
      </c>
      <c r="D809" s="1" t="s">
        <v>639</v>
      </c>
      <c r="E809" s="1" t="s">
        <v>1553</v>
      </c>
      <c r="F809" s="1" t="s">
        <v>87</v>
      </c>
      <c r="G809" s="1" t="s">
        <v>2110</v>
      </c>
      <c r="H809" s="1" t="s">
        <v>945</v>
      </c>
      <c r="I809" s="1" t="s">
        <v>1347</v>
      </c>
      <c r="J809" s="6">
        <v>23909</v>
      </c>
      <c r="K809" s="5">
        <v>45708</v>
      </c>
      <c r="L809" s="7">
        <v>46022</v>
      </c>
    </row>
    <row r="810" spans="1:12" hidden="1" x14ac:dyDescent="0.25">
      <c r="A810" s="4">
        <v>804</v>
      </c>
      <c r="B810" s="2" t="str">
        <f>HYPERLINK("https://my.zakupivli.pro/remote/dispatcher/state_purchase_view/57592576", "UA-2025-02-20-001977-a")</f>
        <v>UA-2025-02-20-001977-a</v>
      </c>
      <c r="C810" s="1" t="s">
        <v>1350</v>
      </c>
      <c r="D810" s="1" t="s">
        <v>623</v>
      </c>
      <c r="E810" s="1" t="s">
        <v>1553</v>
      </c>
      <c r="F810" s="1" t="s">
        <v>87</v>
      </c>
      <c r="G810" s="1" t="s">
        <v>2110</v>
      </c>
      <c r="H810" s="1" t="s">
        <v>945</v>
      </c>
      <c r="I810" s="1" t="s">
        <v>1344</v>
      </c>
      <c r="J810" s="6">
        <v>21535</v>
      </c>
      <c r="K810" s="5">
        <v>45708</v>
      </c>
      <c r="L810" s="7">
        <v>45747</v>
      </c>
    </row>
    <row r="811" spans="1:12" hidden="1" x14ac:dyDescent="0.25">
      <c r="A811" s="4">
        <v>805</v>
      </c>
      <c r="B811" s="2" t="str">
        <f>HYPERLINK("https://my.zakupivli.pro/remote/dispatcher/state_purchase_view/57574828", "UA-2025-02-19-008279-a")</f>
        <v>UA-2025-02-19-008279-a</v>
      </c>
      <c r="C811" s="1" t="s">
        <v>1798</v>
      </c>
      <c r="D811" s="1" t="s">
        <v>952</v>
      </c>
      <c r="E811" s="1" t="s">
        <v>1553</v>
      </c>
      <c r="F811" s="1" t="s">
        <v>87</v>
      </c>
      <c r="G811" s="1" t="s">
        <v>2148</v>
      </c>
      <c r="H811" s="1" t="s">
        <v>116</v>
      </c>
      <c r="I811" s="1" t="s">
        <v>1202</v>
      </c>
      <c r="J811" s="6">
        <v>5580</v>
      </c>
      <c r="K811" s="5">
        <v>45706</v>
      </c>
      <c r="L811" s="7">
        <v>46022</v>
      </c>
    </row>
    <row r="812" spans="1:12" hidden="1" x14ac:dyDescent="0.25">
      <c r="A812" s="4">
        <v>806</v>
      </c>
      <c r="B812" s="2" t="str">
        <f>HYPERLINK("https://my.zakupivli.pro/remote/dispatcher/state_purchase_view/57574192", "UA-2025-02-19-007969-a")</f>
        <v>UA-2025-02-19-007969-a</v>
      </c>
      <c r="C812" s="1" t="s">
        <v>1822</v>
      </c>
      <c r="D812" s="1" t="s">
        <v>1264</v>
      </c>
      <c r="E812" s="1" t="s">
        <v>1553</v>
      </c>
      <c r="F812" s="1" t="s">
        <v>87</v>
      </c>
      <c r="G812" s="1" t="s">
        <v>1497</v>
      </c>
      <c r="H812" s="1" t="s">
        <v>752</v>
      </c>
      <c r="I812" s="1" t="s">
        <v>140</v>
      </c>
      <c r="J812" s="6">
        <v>8000</v>
      </c>
      <c r="K812" s="5">
        <v>45707</v>
      </c>
      <c r="L812" s="7">
        <v>46022</v>
      </c>
    </row>
    <row r="813" spans="1:12" hidden="1" x14ac:dyDescent="0.25">
      <c r="A813" s="4">
        <v>807</v>
      </c>
      <c r="B813" s="2" t="str">
        <f>HYPERLINK("https://my.zakupivli.pro/remote/dispatcher/state_purchase_view/57568540", "UA-2025-02-19-005560-a")</f>
        <v>UA-2025-02-19-005560-a</v>
      </c>
      <c r="C813" s="1" t="s">
        <v>1884</v>
      </c>
      <c r="D813" s="1" t="s">
        <v>1326</v>
      </c>
      <c r="E813" s="1" t="s">
        <v>1553</v>
      </c>
      <c r="F813" s="1" t="s">
        <v>87</v>
      </c>
      <c r="G813" s="1" t="s">
        <v>2156</v>
      </c>
      <c r="H813" s="1" t="s">
        <v>848</v>
      </c>
      <c r="I813" s="1" t="s">
        <v>158</v>
      </c>
      <c r="J813" s="6">
        <v>105000</v>
      </c>
      <c r="K813" s="5">
        <v>45707</v>
      </c>
      <c r="L813" s="7">
        <v>45747</v>
      </c>
    </row>
    <row r="814" spans="1:12" hidden="1" x14ac:dyDescent="0.25">
      <c r="A814" s="4">
        <v>808</v>
      </c>
      <c r="B814" s="2" t="str">
        <f>HYPERLINK("https://my.zakupivli.pro/remote/dispatcher/state_purchase_view/57512489", "UA-2025-02-17-009415-a")</f>
        <v>UA-2025-02-17-009415-a</v>
      </c>
      <c r="C814" s="1" t="s">
        <v>1543</v>
      </c>
      <c r="D814" s="1" t="s">
        <v>740</v>
      </c>
      <c r="E814" s="1" t="s">
        <v>1553</v>
      </c>
      <c r="F814" s="1" t="s">
        <v>87</v>
      </c>
      <c r="G814" s="1" t="s">
        <v>2017</v>
      </c>
      <c r="H814" s="1" t="s">
        <v>632</v>
      </c>
      <c r="I814" s="1" t="s">
        <v>134</v>
      </c>
      <c r="J814" s="6">
        <v>20705</v>
      </c>
      <c r="K814" s="5">
        <v>45702</v>
      </c>
      <c r="L814" s="7">
        <v>46022</v>
      </c>
    </row>
    <row r="815" spans="1:12" hidden="1" x14ac:dyDescent="0.25">
      <c r="A815" s="4">
        <v>809</v>
      </c>
      <c r="B815" s="2" t="str">
        <f>HYPERLINK("https://my.zakupivli.pro/remote/dispatcher/state_purchase_view/57505509", "UA-2025-02-17-006230-a")</f>
        <v>UA-2025-02-17-006230-a</v>
      </c>
      <c r="C815" s="1" t="s">
        <v>1843</v>
      </c>
      <c r="D815" s="1" t="s">
        <v>1152</v>
      </c>
      <c r="E815" s="1" t="s">
        <v>1553</v>
      </c>
      <c r="F815" s="1" t="s">
        <v>87</v>
      </c>
      <c r="G815" s="1" t="s">
        <v>1492</v>
      </c>
      <c r="H815" s="1" t="s">
        <v>794</v>
      </c>
      <c r="I815" s="1" t="s">
        <v>1194</v>
      </c>
      <c r="J815" s="6">
        <v>256630</v>
      </c>
      <c r="K815" s="5">
        <v>45727</v>
      </c>
      <c r="L815" s="7">
        <v>46017</v>
      </c>
    </row>
    <row r="816" spans="1:12" hidden="1" x14ac:dyDescent="0.25">
      <c r="A816" s="4">
        <v>810</v>
      </c>
      <c r="B816" s="2" t="str">
        <f>HYPERLINK("https://my.zakupivli.pro/remote/dispatcher/state_purchase_view/57479591", "UA-2025-02-14-009190-a")</f>
        <v>UA-2025-02-14-009190-a</v>
      </c>
      <c r="C816" s="1" t="s">
        <v>1821</v>
      </c>
      <c r="D816" s="1" t="s">
        <v>1264</v>
      </c>
      <c r="E816" s="1" t="s">
        <v>1553</v>
      </c>
      <c r="F816" s="1" t="s">
        <v>87</v>
      </c>
      <c r="G816" s="1" t="s">
        <v>1497</v>
      </c>
      <c r="H816" s="1" t="s">
        <v>752</v>
      </c>
      <c r="I816" s="1" t="s">
        <v>139</v>
      </c>
      <c r="J816" s="6">
        <v>10005</v>
      </c>
      <c r="K816" s="5">
        <v>45702</v>
      </c>
      <c r="L816" s="7">
        <v>46022</v>
      </c>
    </row>
    <row r="817" spans="1:12" hidden="1" x14ac:dyDescent="0.25">
      <c r="A817" s="4">
        <v>811</v>
      </c>
      <c r="B817" s="2" t="str">
        <f>HYPERLINK("https://my.zakupivli.pro/remote/dispatcher/state_purchase_view/57477339", "UA-2025-02-14-008212-a")</f>
        <v>UA-2025-02-14-008212-a</v>
      </c>
      <c r="C817" s="1" t="s">
        <v>2191</v>
      </c>
      <c r="D817" s="1" t="s">
        <v>1149</v>
      </c>
      <c r="E817" s="1" t="s">
        <v>1553</v>
      </c>
      <c r="F817" s="1" t="s">
        <v>87</v>
      </c>
      <c r="G817" s="1" t="s">
        <v>2236</v>
      </c>
      <c r="H817" s="1" t="s">
        <v>484</v>
      </c>
      <c r="I817" s="1" t="s">
        <v>208</v>
      </c>
      <c r="J817" s="6">
        <v>153442</v>
      </c>
      <c r="K817" s="5">
        <v>45719</v>
      </c>
      <c r="L817" s="7">
        <v>45854</v>
      </c>
    </row>
    <row r="818" spans="1:12" hidden="1" x14ac:dyDescent="0.25">
      <c r="A818" s="4">
        <v>812</v>
      </c>
      <c r="B818" s="2" t="str">
        <f>HYPERLINK("https://my.zakupivli.pro/remote/dispatcher/state_purchase_view/57460308", "UA-2025-02-14-000439-a")</f>
        <v>UA-2025-02-14-000439-a</v>
      </c>
      <c r="C818" s="1" t="s">
        <v>1858</v>
      </c>
      <c r="D818" s="1" t="s">
        <v>1149</v>
      </c>
      <c r="E818" s="1" t="s">
        <v>1553</v>
      </c>
      <c r="F818" s="1" t="s">
        <v>87</v>
      </c>
      <c r="G818" s="1" t="s">
        <v>2143</v>
      </c>
      <c r="H818" s="1" t="s">
        <v>684</v>
      </c>
      <c r="I818" s="1" t="s">
        <v>517</v>
      </c>
      <c r="J818" s="6">
        <v>94000</v>
      </c>
      <c r="K818" s="5">
        <v>45700</v>
      </c>
      <c r="L818" s="7">
        <v>46022</v>
      </c>
    </row>
    <row r="819" spans="1:12" hidden="1" x14ac:dyDescent="0.25">
      <c r="A819" s="4">
        <v>813</v>
      </c>
      <c r="B819" s="2" t="str">
        <f>HYPERLINK("https://my.zakupivli.pro/remote/dispatcher/state_purchase_view/57457672", "UA-2025-02-13-014818-a")</f>
        <v>UA-2025-02-13-014818-a</v>
      </c>
      <c r="C819" s="1" t="s">
        <v>1806</v>
      </c>
      <c r="D819" s="1" t="s">
        <v>700</v>
      </c>
      <c r="E819" s="1" t="s">
        <v>1553</v>
      </c>
      <c r="F819" s="1" t="s">
        <v>87</v>
      </c>
      <c r="G819" s="1" t="s">
        <v>2216</v>
      </c>
      <c r="H819" s="1" t="s">
        <v>632</v>
      </c>
      <c r="I819" s="1" t="s">
        <v>227</v>
      </c>
      <c r="J819" s="6">
        <v>213990</v>
      </c>
      <c r="K819" s="5">
        <v>45719</v>
      </c>
      <c r="L819" s="7">
        <v>46049</v>
      </c>
    </row>
    <row r="820" spans="1:12" hidden="1" x14ac:dyDescent="0.25">
      <c r="A820" s="4">
        <v>814</v>
      </c>
      <c r="B820" s="2" t="str">
        <f>HYPERLINK("https://my.zakupivli.pro/remote/dispatcher/state_purchase_view/57446257", "UA-2025-02-13-009723-a")</f>
        <v>UA-2025-02-13-009723-a</v>
      </c>
      <c r="C820" s="1" t="s">
        <v>1661</v>
      </c>
      <c r="D820" s="1" t="s">
        <v>713</v>
      </c>
      <c r="E820" s="1" t="s">
        <v>1553</v>
      </c>
      <c r="F820" s="1" t="s">
        <v>87</v>
      </c>
      <c r="G820" s="1" t="s">
        <v>2121</v>
      </c>
      <c r="H820" s="1" t="s">
        <v>675</v>
      </c>
      <c r="I820" s="1" t="s">
        <v>1340</v>
      </c>
      <c r="J820" s="6">
        <v>13196.99</v>
      </c>
      <c r="K820" s="5">
        <v>45700</v>
      </c>
      <c r="L820" s="7">
        <v>46022</v>
      </c>
    </row>
    <row r="821" spans="1:12" hidden="1" x14ac:dyDescent="0.25">
      <c r="A821" s="4">
        <v>815</v>
      </c>
      <c r="B821" s="2" t="str">
        <f>HYPERLINK("https://my.zakupivli.pro/remote/dispatcher/state_purchase_view/57441894", "UA-2025-02-13-007765-a")</f>
        <v>UA-2025-02-13-007765-a</v>
      </c>
      <c r="C821" s="1" t="s">
        <v>1863</v>
      </c>
      <c r="D821" s="1" t="s">
        <v>1151</v>
      </c>
      <c r="E821" s="1" t="s">
        <v>1553</v>
      </c>
      <c r="F821" s="1" t="s">
        <v>87</v>
      </c>
      <c r="G821" s="1" t="s">
        <v>2143</v>
      </c>
      <c r="H821" s="1" t="s">
        <v>684</v>
      </c>
      <c r="I821" s="1" t="s">
        <v>530</v>
      </c>
      <c r="J821" s="6">
        <v>64500</v>
      </c>
      <c r="K821" s="5">
        <v>45700</v>
      </c>
      <c r="L821" s="7">
        <v>46022</v>
      </c>
    </row>
    <row r="822" spans="1:12" hidden="1" x14ac:dyDescent="0.25">
      <c r="A822" s="4">
        <v>816</v>
      </c>
      <c r="B822" s="2" t="str">
        <f>HYPERLINK("https://my.zakupivli.pro/remote/dispatcher/state_purchase_view/57441205", "UA-2025-02-13-007436-a")</f>
        <v>UA-2025-02-13-007436-a</v>
      </c>
      <c r="C822" s="1" t="s">
        <v>51</v>
      </c>
      <c r="D822" s="1" t="s">
        <v>897</v>
      </c>
      <c r="E822" s="1" t="s">
        <v>1553</v>
      </c>
      <c r="F822" s="1" t="s">
        <v>87</v>
      </c>
      <c r="G822" s="1" t="s">
        <v>2018</v>
      </c>
      <c r="H822" s="1" t="s">
        <v>611</v>
      </c>
      <c r="I822" s="1" t="s">
        <v>1343</v>
      </c>
      <c r="J822" s="6">
        <v>646</v>
      </c>
      <c r="K822" s="5">
        <v>45701</v>
      </c>
      <c r="L822" s="7">
        <v>45716</v>
      </c>
    </row>
    <row r="823" spans="1:12" hidden="1" x14ac:dyDescent="0.25">
      <c r="A823" s="4">
        <v>817</v>
      </c>
      <c r="B823" s="2" t="str">
        <f>HYPERLINK("https://my.zakupivli.pro/remote/dispatcher/state_purchase_view/57394389", "UA-2025-02-12-002252-a")</f>
        <v>UA-2025-02-12-002252-a</v>
      </c>
      <c r="C823" s="1" t="s">
        <v>1640</v>
      </c>
      <c r="D823" s="1" t="s">
        <v>855</v>
      </c>
      <c r="E823" s="1" t="s">
        <v>1553</v>
      </c>
      <c r="F823" s="1" t="s">
        <v>87</v>
      </c>
      <c r="G823" s="1" t="s">
        <v>1431</v>
      </c>
      <c r="H823" s="1" t="s">
        <v>510</v>
      </c>
      <c r="I823" s="1" t="s">
        <v>137</v>
      </c>
      <c r="J823" s="6">
        <v>8852</v>
      </c>
      <c r="K823" s="5">
        <v>45700</v>
      </c>
      <c r="L823" s="7">
        <v>46022</v>
      </c>
    </row>
    <row r="824" spans="1:12" hidden="1" x14ac:dyDescent="0.25">
      <c r="A824" s="4">
        <v>818</v>
      </c>
      <c r="B824" s="2" t="str">
        <f>HYPERLINK("https://my.zakupivli.pro/remote/dispatcher/state_purchase_view/57394318", "UA-2025-02-12-002203-a")</f>
        <v>UA-2025-02-12-002203-a</v>
      </c>
      <c r="C824" s="1" t="s">
        <v>1978</v>
      </c>
      <c r="D824" s="1" t="s">
        <v>1304</v>
      </c>
      <c r="E824" s="1" t="s">
        <v>1553</v>
      </c>
      <c r="F824" s="1" t="s">
        <v>87</v>
      </c>
      <c r="G824" s="1" t="s">
        <v>1563</v>
      </c>
      <c r="H824" s="1" t="s">
        <v>115</v>
      </c>
      <c r="I824" s="1" t="s">
        <v>233</v>
      </c>
      <c r="J824" s="6">
        <v>18245</v>
      </c>
      <c r="K824" s="5">
        <v>45700</v>
      </c>
      <c r="L824" s="7">
        <v>46022</v>
      </c>
    </row>
    <row r="825" spans="1:12" hidden="1" x14ac:dyDescent="0.25">
      <c r="A825" s="4">
        <v>819</v>
      </c>
      <c r="B825" s="2" t="str">
        <f>HYPERLINK("https://my.zakupivli.pro/remote/dispatcher/state_purchase_view/57394097", "UA-2025-02-12-002086-a")</f>
        <v>UA-2025-02-12-002086-a</v>
      </c>
      <c r="C825" s="1" t="s">
        <v>1585</v>
      </c>
      <c r="D825" s="1" t="s">
        <v>705</v>
      </c>
      <c r="E825" s="1" t="s">
        <v>1553</v>
      </c>
      <c r="F825" s="1" t="s">
        <v>87</v>
      </c>
      <c r="G825" s="1" t="s">
        <v>2288</v>
      </c>
      <c r="H825" s="1" t="s">
        <v>595</v>
      </c>
      <c r="I825" s="1" t="s">
        <v>225</v>
      </c>
      <c r="J825" s="6">
        <v>12650</v>
      </c>
      <c r="K825" s="5">
        <v>45700</v>
      </c>
      <c r="L825" s="7">
        <v>46022</v>
      </c>
    </row>
    <row r="826" spans="1:12" hidden="1" x14ac:dyDescent="0.25">
      <c r="A826" s="4">
        <v>820</v>
      </c>
      <c r="B826" s="2" t="str">
        <f>HYPERLINK("https://my.zakupivli.pro/remote/dispatcher/state_purchase_view/57393674", "UA-2025-02-12-001888-a")</f>
        <v>UA-2025-02-12-001888-a</v>
      </c>
      <c r="C826" s="1" t="s">
        <v>1629</v>
      </c>
      <c r="D826" s="1" t="s">
        <v>641</v>
      </c>
      <c r="E826" s="1" t="s">
        <v>1553</v>
      </c>
      <c r="F826" s="1" t="s">
        <v>87</v>
      </c>
      <c r="G826" s="1" t="s">
        <v>2288</v>
      </c>
      <c r="H826" s="1" t="s">
        <v>595</v>
      </c>
      <c r="I826" s="1" t="s">
        <v>249</v>
      </c>
      <c r="J826" s="6">
        <v>5683</v>
      </c>
      <c r="K826" s="5">
        <v>45700</v>
      </c>
      <c r="L826" s="7">
        <v>46022</v>
      </c>
    </row>
    <row r="827" spans="1:12" hidden="1" x14ac:dyDescent="0.25">
      <c r="A827" s="4">
        <v>821</v>
      </c>
      <c r="B827" s="2" t="str">
        <f>HYPERLINK("https://my.zakupivli.pro/remote/dispatcher/state_purchase_view/57390786", "UA-2025-02-12-000647-a")</f>
        <v>UA-2025-02-12-000647-a</v>
      </c>
      <c r="C827" s="1" t="s">
        <v>1864</v>
      </c>
      <c r="D827" s="1" t="s">
        <v>1151</v>
      </c>
      <c r="E827" s="1" t="s">
        <v>1553</v>
      </c>
      <c r="F827" s="1" t="s">
        <v>87</v>
      </c>
      <c r="G827" s="1" t="s">
        <v>2106</v>
      </c>
      <c r="H827" s="1" t="s">
        <v>461</v>
      </c>
      <c r="I827" s="1" t="s">
        <v>1306</v>
      </c>
      <c r="J827" s="6">
        <v>3794.04</v>
      </c>
      <c r="K827" s="5">
        <v>45698</v>
      </c>
      <c r="L827" s="7">
        <v>46022</v>
      </c>
    </row>
    <row r="828" spans="1:12" hidden="1" x14ac:dyDescent="0.25">
      <c r="A828" s="4">
        <v>822</v>
      </c>
      <c r="B828" s="2" t="str">
        <f>HYPERLINK("https://my.zakupivli.pro/remote/dispatcher/state_purchase_view/57389253", "UA-2025-02-12-000003-a")</f>
        <v>UA-2025-02-12-000003-a</v>
      </c>
      <c r="C828" s="1" t="s">
        <v>1799</v>
      </c>
      <c r="D828" s="1" t="s">
        <v>736</v>
      </c>
      <c r="E828" s="1" t="s">
        <v>1553</v>
      </c>
      <c r="F828" s="1" t="s">
        <v>87</v>
      </c>
      <c r="G828" s="1" t="s">
        <v>2227</v>
      </c>
      <c r="H828" s="1" t="s">
        <v>636</v>
      </c>
      <c r="I828" s="1" t="s">
        <v>189</v>
      </c>
      <c r="J828" s="6">
        <v>1832705.26</v>
      </c>
      <c r="K828" s="5">
        <v>45719</v>
      </c>
      <c r="L828" s="7">
        <v>46028</v>
      </c>
    </row>
    <row r="829" spans="1:12" hidden="1" x14ac:dyDescent="0.25">
      <c r="A829" s="4">
        <v>823</v>
      </c>
      <c r="B829" s="2" t="str">
        <f>HYPERLINK("https://my.zakupivli.pro/remote/dispatcher/state_purchase_view/57377133", "UA-2025-02-11-010818-a")</f>
        <v>UA-2025-02-11-010818-a</v>
      </c>
      <c r="C829" s="1" t="s">
        <v>1419</v>
      </c>
      <c r="D829" s="1" t="s">
        <v>431</v>
      </c>
      <c r="E829" s="1" t="s">
        <v>1553</v>
      </c>
      <c r="F829" s="1" t="s">
        <v>87</v>
      </c>
      <c r="G829" s="1" t="s">
        <v>2144</v>
      </c>
      <c r="H829" s="1" t="s">
        <v>435</v>
      </c>
      <c r="I829" s="1" t="s">
        <v>208</v>
      </c>
      <c r="J829" s="6">
        <v>2040</v>
      </c>
      <c r="K829" s="5">
        <v>45699</v>
      </c>
      <c r="L829" s="7">
        <v>46022</v>
      </c>
    </row>
    <row r="830" spans="1:12" hidden="1" x14ac:dyDescent="0.25">
      <c r="A830" s="4">
        <v>824</v>
      </c>
      <c r="B830" s="2" t="str">
        <f>HYPERLINK("https://my.zakupivli.pro/remote/dispatcher/state_purchase_view/57371827", "UA-2025-02-11-008418-a")</f>
        <v>UA-2025-02-11-008418-a</v>
      </c>
      <c r="C830" s="1" t="s">
        <v>2027</v>
      </c>
      <c r="D830" s="1" t="s">
        <v>880</v>
      </c>
      <c r="E830" s="1" t="s">
        <v>1553</v>
      </c>
      <c r="F830" s="1" t="s">
        <v>87</v>
      </c>
      <c r="G830" s="1" t="s">
        <v>1623</v>
      </c>
      <c r="H830" s="1" t="s">
        <v>579</v>
      </c>
      <c r="I830" s="1" t="s">
        <v>1339</v>
      </c>
      <c r="J830" s="6">
        <v>63080</v>
      </c>
      <c r="K830" s="5">
        <v>45699</v>
      </c>
      <c r="L830" s="7">
        <v>45716</v>
      </c>
    </row>
    <row r="831" spans="1:12" hidden="1" x14ac:dyDescent="0.25">
      <c r="A831" s="4">
        <v>825</v>
      </c>
      <c r="B831" s="2" t="str">
        <f>HYPERLINK("https://my.zakupivli.pro/remote/dispatcher/state_purchase_view/57352114", "UA-2025-02-10-016834-a")</f>
        <v>UA-2025-02-10-016834-a</v>
      </c>
      <c r="C831" s="1" t="s">
        <v>163</v>
      </c>
      <c r="D831" s="1" t="s">
        <v>736</v>
      </c>
      <c r="E831" s="1" t="s">
        <v>1553</v>
      </c>
      <c r="F831" s="1" t="s">
        <v>87</v>
      </c>
      <c r="G831" s="1" t="s">
        <v>2163</v>
      </c>
      <c r="H831" s="1" t="s">
        <v>973</v>
      </c>
      <c r="I831" s="1" t="s">
        <v>190</v>
      </c>
      <c r="J831" s="6">
        <v>1230940.8400000001</v>
      </c>
      <c r="K831" s="5">
        <v>45719</v>
      </c>
      <c r="L831" s="7">
        <v>46049</v>
      </c>
    </row>
    <row r="832" spans="1:12" hidden="1" x14ac:dyDescent="0.25">
      <c r="A832" s="4">
        <v>826</v>
      </c>
      <c r="B832" s="2" t="str">
        <f>HYPERLINK("https://my.zakupivli.pro/remote/dispatcher/state_purchase_view/57345582", "UA-2025-02-10-013744-a")</f>
        <v>UA-2025-02-10-013744-a</v>
      </c>
      <c r="C832" s="1" t="s">
        <v>1500</v>
      </c>
      <c r="D832" s="1" t="s">
        <v>736</v>
      </c>
      <c r="E832" s="1" t="s">
        <v>1553</v>
      </c>
      <c r="F832" s="1" t="s">
        <v>87</v>
      </c>
      <c r="G832" s="1" t="s">
        <v>2240</v>
      </c>
      <c r="H832" s="1" t="s">
        <v>844</v>
      </c>
      <c r="I832" s="1" t="s">
        <v>446</v>
      </c>
      <c r="J832" s="6">
        <v>1056963</v>
      </c>
      <c r="K832" s="5">
        <v>45719</v>
      </c>
      <c r="L832" s="7">
        <v>46017</v>
      </c>
    </row>
    <row r="833" spans="1:12" hidden="1" x14ac:dyDescent="0.25">
      <c r="A833" s="4">
        <v>827</v>
      </c>
      <c r="B833" s="2" t="str">
        <f>HYPERLINK("https://my.zakupivli.pro/remote/dispatcher/state_purchase_view/57324803", "UA-2025-02-10-004319-a")</f>
        <v>UA-2025-02-10-004319-a</v>
      </c>
      <c r="C833" s="1" t="s">
        <v>1874</v>
      </c>
      <c r="D833" s="1" t="s">
        <v>1160</v>
      </c>
      <c r="E833" s="1" t="s">
        <v>1553</v>
      </c>
      <c r="F833" s="1" t="s">
        <v>87</v>
      </c>
      <c r="G833" s="1" t="s">
        <v>1458</v>
      </c>
      <c r="H833" s="1" t="s">
        <v>558</v>
      </c>
      <c r="I833" s="1" t="s">
        <v>1337</v>
      </c>
      <c r="J833" s="6">
        <v>23500</v>
      </c>
      <c r="K833" s="5">
        <v>45698</v>
      </c>
      <c r="L833" s="7">
        <v>46022</v>
      </c>
    </row>
    <row r="834" spans="1:12" hidden="1" x14ac:dyDescent="0.25">
      <c r="A834" s="4">
        <v>828</v>
      </c>
      <c r="B834" s="2" t="str">
        <f>HYPERLINK("https://my.zakupivli.pro/remote/dispatcher/state_purchase_view/57304593", "UA-2025-02-07-012215-a")</f>
        <v>UA-2025-02-07-012215-a</v>
      </c>
      <c r="C834" s="1" t="s">
        <v>1390</v>
      </c>
      <c r="D834" s="1" t="s">
        <v>731</v>
      </c>
      <c r="E834" s="1" t="s">
        <v>1553</v>
      </c>
      <c r="F834" s="1" t="s">
        <v>87</v>
      </c>
      <c r="G834" s="1" t="s">
        <v>2104</v>
      </c>
      <c r="H834" s="1" t="s">
        <v>847</v>
      </c>
      <c r="I834" s="1" t="s">
        <v>160</v>
      </c>
      <c r="J834" s="6">
        <v>8388373.7000000002</v>
      </c>
      <c r="K834" s="5">
        <v>45702</v>
      </c>
      <c r="L834" s="7">
        <v>46037</v>
      </c>
    </row>
    <row r="835" spans="1:12" hidden="1" x14ac:dyDescent="0.25">
      <c r="A835" s="4">
        <v>829</v>
      </c>
      <c r="B835" s="2" t="str">
        <f>HYPERLINK("https://my.zakupivli.pro/remote/dispatcher/state_purchase_view/57272220", "UA-2025-02-06-014874-a")</f>
        <v>UA-2025-02-06-014874-a</v>
      </c>
      <c r="C835" s="1" t="s">
        <v>2262</v>
      </c>
      <c r="D835" s="1" t="s">
        <v>497</v>
      </c>
      <c r="E835" s="1" t="s">
        <v>1553</v>
      </c>
      <c r="F835" s="1" t="s">
        <v>87</v>
      </c>
      <c r="G835" s="1" t="s">
        <v>2163</v>
      </c>
      <c r="H835" s="1" t="s">
        <v>973</v>
      </c>
      <c r="I835" s="1" t="s">
        <v>1642</v>
      </c>
      <c r="J835" s="6">
        <v>24958.82</v>
      </c>
      <c r="K835" s="5">
        <v>45694</v>
      </c>
      <c r="L835" s="7">
        <v>46022</v>
      </c>
    </row>
    <row r="836" spans="1:12" hidden="1" x14ac:dyDescent="0.25">
      <c r="A836" s="4">
        <v>830</v>
      </c>
      <c r="B836" s="2" t="str">
        <f>HYPERLINK("https://my.zakupivli.pro/remote/dispatcher/state_purchase_view/57269953", "UA-2025-02-06-013850-a")</f>
        <v>UA-2025-02-06-013850-a</v>
      </c>
      <c r="C836" s="1" t="s">
        <v>1414</v>
      </c>
      <c r="D836" s="1" t="s">
        <v>125</v>
      </c>
      <c r="E836" s="1" t="s">
        <v>1553</v>
      </c>
      <c r="F836" s="1" t="s">
        <v>87</v>
      </c>
      <c r="G836" s="1" t="s">
        <v>2074</v>
      </c>
      <c r="H836" s="1" t="s">
        <v>1003</v>
      </c>
      <c r="I836" s="1" t="s">
        <v>162</v>
      </c>
      <c r="J836" s="6">
        <v>1228560</v>
      </c>
      <c r="K836" s="5">
        <v>45712</v>
      </c>
      <c r="L836" s="7">
        <v>46112</v>
      </c>
    </row>
    <row r="837" spans="1:12" hidden="1" x14ac:dyDescent="0.25">
      <c r="A837" s="4">
        <v>831</v>
      </c>
      <c r="B837" s="2" t="str">
        <f>HYPERLINK("https://my.zakupivli.pro/remote/dispatcher/state_purchase_view/57263547", "UA-2025-02-06-010968-a")</f>
        <v>UA-2025-02-06-010968-a</v>
      </c>
      <c r="C837" s="1" t="s">
        <v>19</v>
      </c>
      <c r="D837" s="1" t="s">
        <v>1012</v>
      </c>
      <c r="E837" s="1" t="s">
        <v>1553</v>
      </c>
      <c r="F837" s="1" t="s">
        <v>87</v>
      </c>
      <c r="G837" s="1" t="s">
        <v>1644</v>
      </c>
      <c r="H837" s="1" t="s">
        <v>324</v>
      </c>
      <c r="I837" s="1" t="s">
        <v>1308</v>
      </c>
      <c r="J837" s="6">
        <v>29145.599999999999</v>
      </c>
      <c r="K837" s="5">
        <v>45694</v>
      </c>
      <c r="L837" s="7">
        <v>45716</v>
      </c>
    </row>
    <row r="838" spans="1:12" hidden="1" x14ac:dyDescent="0.25">
      <c r="A838" s="4">
        <v>832</v>
      </c>
      <c r="B838" s="2" t="str">
        <f>HYPERLINK("https://my.zakupivli.pro/remote/dispatcher/state_purchase_view/57216348", "UA-2025-02-05-007767-a")</f>
        <v>UA-2025-02-05-007767-a</v>
      </c>
      <c r="C838" s="1" t="s">
        <v>1783</v>
      </c>
      <c r="D838" s="1" t="s">
        <v>596</v>
      </c>
      <c r="E838" s="1" t="s">
        <v>1553</v>
      </c>
      <c r="F838" s="1" t="s">
        <v>87</v>
      </c>
      <c r="G838" s="1" t="s">
        <v>2088</v>
      </c>
      <c r="H838" s="1" t="s">
        <v>998</v>
      </c>
      <c r="I838" s="1" t="s">
        <v>156</v>
      </c>
      <c r="J838" s="6">
        <v>124800</v>
      </c>
      <c r="K838" s="5">
        <v>45702</v>
      </c>
      <c r="L838" s="7">
        <v>45720</v>
      </c>
    </row>
    <row r="839" spans="1:12" hidden="1" x14ac:dyDescent="0.25">
      <c r="A839" s="4">
        <v>833</v>
      </c>
      <c r="B839" s="2" t="str">
        <f>HYPERLINK("https://my.zakupivli.pro/remote/dispatcher/state_purchase_view/57205941", "UA-2025-02-05-003020-a")</f>
        <v>UA-2025-02-05-003020-a</v>
      </c>
      <c r="C839" s="1" t="s">
        <v>2184</v>
      </c>
      <c r="D839" s="1" t="s">
        <v>664</v>
      </c>
      <c r="E839" s="1" t="s">
        <v>1553</v>
      </c>
      <c r="F839" s="1" t="s">
        <v>87</v>
      </c>
      <c r="G839" s="1" t="s">
        <v>1743</v>
      </c>
      <c r="H839" s="1" t="s">
        <v>538</v>
      </c>
      <c r="I839" s="1" t="s">
        <v>1307</v>
      </c>
      <c r="J839" s="6">
        <v>14740</v>
      </c>
      <c r="K839" s="5">
        <v>45693</v>
      </c>
      <c r="L839" s="7">
        <v>45716</v>
      </c>
    </row>
    <row r="840" spans="1:12" hidden="1" x14ac:dyDescent="0.25">
      <c r="A840" s="4">
        <v>834</v>
      </c>
      <c r="B840" s="2" t="str">
        <f>HYPERLINK("https://my.zakupivli.pro/remote/dispatcher/state_purchase_view/57205143", "UA-2025-02-05-002652-a")</f>
        <v>UA-2025-02-05-002652-a</v>
      </c>
      <c r="C840" s="1" t="s">
        <v>1670</v>
      </c>
      <c r="D840" s="1" t="s">
        <v>733</v>
      </c>
      <c r="E840" s="1" t="s">
        <v>1553</v>
      </c>
      <c r="F840" s="1" t="s">
        <v>87</v>
      </c>
      <c r="G840" s="1" t="s">
        <v>2118</v>
      </c>
      <c r="H840" s="1" t="s">
        <v>1047</v>
      </c>
      <c r="I840" s="1" t="s">
        <v>136</v>
      </c>
      <c r="J840" s="6">
        <v>863074.8</v>
      </c>
      <c r="K840" s="5">
        <v>45702</v>
      </c>
      <c r="L840" s="7">
        <v>46037</v>
      </c>
    </row>
    <row r="841" spans="1:12" hidden="1" x14ac:dyDescent="0.25">
      <c r="A841" s="4">
        <v>835</v>
      </c>
      <c r="B841" s="2" t="str">
        <f>HYPERLINK("https://my.zakupivli.pro/remote/dispatcher/state_purchase_view/57203133", "UA-2025-02-05-001727-a")</f>
        <v>UA-2025-02-05-001727-a</v>
      </c>
      <c r="C841" s="1" t="s">
        <v>1390</v>
      </c>
      <c r="D841" s="1" t="s">
        <v>731</v>
      </c>
      <c r="E841" s="1" t="s">
        <v>1553</v>
      </c>
      <c r="F841" s="1" t="s">
        <v>87</v>
      </c>
      <c r="G841" s="1"/>
      <c r="H841" s="1"/>
      <c r="I841" s="1"/>
      <c r="J841" s="1"/>
      <c r="K841" s="1" t="s">
        <v>53</v>
      </c>
      <c r="L841" s="1"/>
    </row>
    <row r="842" spans="1:12" hidden="1" x14ac:dyDescent="0.25">
      <c r="A842" s="4">
        <v>836</v>
      </c>
      <c r="B842" s="2" t="str">
        <f>HYPERLINK("https://my.zakupivli.pro/remote/dispatcher/state_purchase_view/57193860", "UA-2025-02-04-015750-a")</f>
        <v>UA-2025-02-04-015750-a</v>
      </c>
      <c r="C842" s="1" t="s">
        <v>1785</v>
      </c>
      <c r="D842" s="1" t="s">
        <v>743</v>
      </c>
      <c r="E842" s="1" t="s">
        <v>1553</v>
      </c>
      <c r="F842" s="1" t="s">
        <v>87</v>
      </c>
      <c r="G842" s="1" t="s">
        <v>2017</v>
      </c>
      <c r="H842" s="1" t="s">
        <v>632</v>
      </c>
      <c r="I842" s="1" t="s">
        <v>113</v>
      </c>
      <c r="J842" s="6">
        <v>26380</v>
      </c>
      <c r="K842" s="5">
        <v>45692</v>
      </c>
      <c r="L842" s="7">
        <v>46022</v>
      </c>
    </row>
    <row r="843" spans="1:12" hidden="1" x14ac:dyDescent="0.25">
      <c r="A843" s="4">
        <v>837</v>
      </c>
      <c r="B843" s="2" t="str">
        <f>HYPERLINK("https://my.zakupivli.pro/remote/dispatcher/state_purchase_view/57193663", "UA-2025-02-04-015614-a")</f>
        <v>UA-2025-02-04-015614-a</v>
      </c>
      <c r="C843" s="1" t="s">
        <v>1936</v>
      </c>
      <c r="D843" s="1" t="s">
        <v>853</v>
      </c>
      <c r="E843" s="1" t="s">
        <v>1553</v>
      </c>
      <c r="F843" s="1" t="s">
        <v>87</v>
      </c>
      <c r="G843" s="1" t="s">
        <v>2288</v>
      </c>
      <c r="H843" s="1" t="s">
        <v>595</v>
      </c>
      <c r="I843" s="1" t="s">
        <v>192</v>
      </c>
      <c r="J843" s="6">
        <v>27460</v>
      </c>
      <c r="K843" s="5">
        <v>45692</v>
      </c>
      <c r="L843" s="7">
        <v>46022</v>
      </c>
    </row>
    <row r="844" spans="1:12" hidden="1" x14ac:dyDescent="0.25">
      <c r="A844" s="4">
        <v>838</v>
      </c>
      <c r="B844" s="2" t="str">
        <f>HYPERLINK("https://my.zakupivli.pro/remote/dispatcher/state_purchase_view/57187365", "UA-2025-02-04-012785-a")</f>
        <v>UA-2025-02-04-012785-a</v>
      </c>
      <c r="C844" s="1" t="s">
        <v>2003</v>
      </c>
      <c r="D844" s="1" t="s">
        <v>1143</v>
      </c>
      <c r="E844" s="1" t="s">
        <v>1553</v>
      </c>
      <c r="F844" s="1" t="s">
        <v>87</v>
      </c>
      <c r="G844" s="1" t="s">
        <v>2226</v>
      </c>
      <c r="H844" s="1" t="s">
        <v>538</v>
      </c>
      <c r="I844" s="1" t="s">
        <v>161</v>
      </c>
      <c r="J844" s="6">
        <v>932400</v>
      </c>
      <c r="K844" s="5">
        <v>45706</v>
      </c>
      <c r="L844" s="7">
        <v>46017</v>
      </c>
    </row>
    <row r="845" spans="1:12" hidden="1" x14ac:dyDescent="0.25">
      <c r="A845" s="4">
        <v>839</v>
      </c>
      <c r="B845" s="2" t="str">
        <f>HYPERLINK("https://my.zakupivli.pro/remote/dispatcher/state_purchase_view/57182464", "UA-2025-02-04-010556-a")</f>
        <v>UA-2025-02-04-010556-a</v>
      </c>
      <c r="C845" s="1" t="s">
        <v>1854</v>
      </c>
      <c r="D845" s="1" t="s">
        <v>1159</v>
      </c>
      <c r="E845" s="1" t="s">
        <v>1553</v>
      </c>
      <c r="F845" s="1" t="s">
        <v>87</v>
      </c>
      <c r="G845" s="1" t="s">
        <v>2175</v>
      </c>
      <c r="H845" s="1" t="s">
        <v>220</v>
      </c>
      <c r="I845" s="1" t="s">
        <v>533</v>
      </c>
      <c r="J845" s="6">
        <v>33815.4</v>
      </c>
      <c r="K845" s="5">
        <v>45692</v>
      </c>
      <c r="L845" s="7">
        <v>46022</v>
      </c>
    </row>
    <row r="846" spans="1:12" hidden="1" x14ac:dyDescent="0.25">
      <c r="A846" s="4">
        <v>840</v>
      </c>
      <c r="B846" s="2" t="str">
        <f>HYPERLINK("https://my.zakupivli.pro/remote/dispatcher/state_purchase_view/57154588", "UA-2025-02-03-015240-a")</f>
        <v>UA-2025-02-03-015240-a</v>
      </c>
      <c r="C846" s="1" t="s">
        <v>2193</v>
      </c>
      <c r="D846" s="1" t="s">
        <v>1161</v>
      </c>
      <c r="E846" s="1" t="s">
        <v>1553</v>
      </c>
      <c r="F846" s="1" t="s">
        <v>87</v>
      </c>
      <c r="G846" s="1" t="s">
        <v>2095</v>
      </c>
      <c r="H846" s="1" t="s">
        <v>400</v>
      </c>
      <c r="I846" s="1" t="s">
        <v>1121</v>
      </c>
      <c r="J846" s="6">
        <v>142916.4</v>
      </c>
      <c r="K846" s="5">
        <v>45706</v>
      </c>
      <c r="L846" s="7">
        <v>46112</v>
      </c>
    </row>
    <row r="847" spans="1:12" hidden="1" x14ac:dyDescent="0.25">
      <c r="A847" s="4">
        <v>841</v>
      </c>
      <c r="B847" s="2" t="str">
        <f>HYPERLINK("https://my.zakupivli.pro/remote/dispatcher/state_purchase_view/57097912", "UA-2025-01-31-006171-a")</f>
        <v>UA-2025-01-31-006171-a</v>
      </c>
      <c r="C847" s="1" t="s">
        <v>1582</v>
      </c>
      <c r="D847" s="1" t="s">
        <v>478</v>
      </c>
      <c r="E847" s="1" t="s">
        <v>1553</v>
      </c>
      <c r="F847" s="1" t="s">
        <v>87</v>
      </c>
      <c r="G847" s="1" t="s">
        <v>1371</v>
      </c>
      <c r="H847" s="1" t="s">
        <v>60</v>
      </c>
      <c r="I847" s="1" t="s">
        <v>1335</v>
      </c>
      <c r="J847" s="6">
        <v>748525.99</v>
      </c>
      <c r="K847" s="5">
        <v>45695</v>
      </c>
      <c r="L847" s="7">
        <v>46028</v>
      </c>
    </row>
    <row r="848" spans="1:12" hidden="1" x14ac:dyDescent="0.25">
      <c r="A848" s="4">
        <v>842</v>
      </c>
      <c r="B848" s="2" t="str">
        <f>HYPERLINK("https://my.zakupivli.pro/remote/dispatcher/state_purchase_view/57077565", "UA-2025-01-30-014745-a")</f>
        <v>UA-2025-01-30-014745-a</v>
      </c>
      <c r="C848" s="1" t="s">
        <v>1484</v>
      </c>
      <c r="D848" s="1" t="s">
        <v>266</v>
      </c>
      <c r="E848" s="1" t="s">
        <v>1553</v>
      </c>
      <c r="F848" s="1" t="s">
        <v>87</v>
      </c>
      <c r="G848" s="1" t="s">
        <v>2108</v>
      </c>
      <c r="H848" s="1" t="s">
        <v>846</v>
      </c>
      <c r="I848" s="1" t="s">
        <v>1737</v>
      </c>
      <c r="J848" s="6">
        <v>13998.6</v>
      </c>
      <c r="K848" s="5">
        <v>45679</v>
      </c>
      <c r="L848" s="7">
        <v>46022</v>
      </c>
    </row>
    <row r="849" spans="1:12" hidden="1" x14ac:dyDescent="0.25">
      <c r="A849" s="4">
        <v>843</v>
      </c>
      <c r="B849" s="2" t="str">
        <f>HYPERLINK("https://my.zakupivli.pro/remote/dispatcher/state_purchase_view/57073753", "UA-2025-01-30-012975-a")</f>
        <v>UA-2025-01-30-012975-a</v>
      </c>
      <c r="C849" s="1" t="s">
        <v>1631</v>
      </c>
      <c r="D849" s="1" t="s">
        <v>732</v>
      </c>
      <c r="E849" s="1" t="s">
        <v>1553</v>
      </c>
      <c r="F849" s="1" t="s">
        <v>87</v>
      </c>
      <c r="G849" s="1" t="s">
        <v>2078</v>
      </c>
      <c r="H849" s="1" t="s">
        <v>786</v>
      </c>
      <c r="I849" s="1" t="s">
        <v>1316</v>
      </c>
      <c r="J849" s="6">
        <v>59476</v>
      </c>
      <c r="K849" s="5">
        <v>45695</v>
      </c>
      <c r="L849" s="7">
        <v>45720</v>
      </c>
    </row>
    <row r="850" spans="1:12" hidden="1" x14ac:dyDescent="0.25">
      <c r="A850" s="4">
        <v>844</v>
      </c>
      <c r="B850" s="2" t="str">
        <f>HYPERLINK("https://my.zakupivli.pro/remote/dispatcher/state_purchase_view/57073252", "UA-2025-01-30-012640-a")</f>
        <v>UA-2025-01-30-012640-a</v>
      </c>
      <c r="C850" s="1" t="s">
        <v>2062</v>
      </c>
      <c r="D850" s="1" t="s">
        <v>713</v>
      </c>
      <c r="E850" s="1" t="s">
        <v>1553</v>
      </c>
      <c r="F850" s="1" t="s">
        <v>87</v>
      </c>
      <c r="G850" s="1" t="s">
        <v>1564</v>
      </c>
      <c r="H850" s="1" t="s">
        <v>722</v>
      </c>
      <c r="I850" s="1" t="s">
        <v>1299</v>
      </c>
      <c r="J850" s="6">
        <v>4800</v>
      </c>
      <c r="K850" s="5">
        <v>45687</v>
      </c>
      <c r="L850" s="7">
        <v>46022</v>
      </c>
    </row>
    <row r="851" spans="1:12" hidden="1" x14ac:dyDescent="0.25">
      <c r="A851" s="4">
        <v>845</v>
      </c>
      <c r="B851" s="2" t="str">
        <f>HYPERLINK("https://my.zakupivli.pro/remote/dispatcher/state_purchase_view/57004262", "UA-2025-01-29-001252-a")</f>
        <v>UA-2025-01-29-001252-a</v>
      </c>
      <c r="C851" s="1" t="s">
        <v>1782</v>
      </c>
      <c r="D851" s="1" t="s">
        <v>438</v>
      </c>
      <c r="E851" s="1" t="s">
        <v>1553</v>
      </c>
      <c r="F851" s="1" t="s">
        <v>87</v>
      </c>
      <c r="G851" s="1" t="s">
        <v>1456</v>
      </c>
      <c r="H851" s="1" t="s">
        <v>317</v>
      </c>
      <c r="I851" s="1" t="s">
        <v>1255</v>
      </c>
      <c r="J851" s="6">
        <v>28700</v>
      </c>
      <c r="K851" s="5">
        <v>45686</v>
      </c>
      <c r="L851" s="7">
        <v>46022</v>
      </c>
    </row>
    <row r="852" spans="1:12" hidden="1" x14ac:dyDescent="0.25">
      <c r="A852" s="4">
        <v>846</v>
      </c>
      <c r="B852" s="2" t="str">
        <f>HYPERLINK("https://my.zakupivli.pro/remote/dispatcher/state_purchase_view/57004018", "UA-2025-01-29-001089-a")</f>
        <v>UA-2025-01-29-001089-a</v>
      </c>
      <c r="C852" s="1" t="s">
        <v>1417</v>
      </c>
      <c r="D852" s="1" t="s">
        <v>439</v>
      </c>
      <c r="E852" s="1" t="s">
        <v>1553</v>
      </c>
      <c r="F852" s="1" t="s">
        <v>87</v>
      </c>
      <c r="G852" s="1" t="s">
        <v>1456</v>
      </c>
      <c r="H852" s="1" t="s">
        <v>317</v>
      </c>
      <c r="I852" s="1" t="s">
        <v>1243</v>
      </c>
      <c r="J852" s="6">
        <v>99999</v>
      </c>
      <c r="K852" s="5">
        <v>45686</v>
      </c>
      <c r="L852" s="7">
        <v>46022</v>
      </c>
    </row>
    <row r="853" spans="1:12" hidden="1" x14ac:dyDescent="0.25">
      <c r="A853" s="4">
        <v>847</v>
      </c>
      <c r="B853" s="2" t="str">
        <f>HYPERLINK("https://my.zakupivli.pro/remote/dispatcher/state_purchase_view/56988088", "UA-2025-01-28-014084-a")</f>
        <v>UA-2025-01-28-014084-a</v>
      </c>
      <c r="C853" s="1" t="s">
        <v>1937</v>
      </c>
      <c r="D853" s="1" t="s">
        <v>856</v>
      </c>
      <c r="E853" s="1" t="s">
        <v>1553</v>
      </c>
      <c r="F853" s="1" t="s">
        <v>87</v>
      </c>
      <c r="G853" s="1" t="s">
        <v>1552</v>
      </c>
      <c r="H853" s="1" t="s">
        <v>561</v>
      </c>
      <c r="I853" s="1" t="s">
        <v>118</v>
      </c>
      <c r="J853" s="6">
        <v>24354</v>
      </c>
      <c r="K853" s="5">
        <v>45685</v>
      </c>
      <c r="L853" s="7">
        <v>46022</v>
      </c>
    </row>
    <row r="854" spans="1:12" hidden="1" x14ac:dyDescent="0.25">
      <c r="A854" s="4">
        <v>848</v>
      </c>
      <c r="B854" s="2" t="str">
        <f>HYPERLINK("https://my.zakupivli.pro/remote/dispatcher/state_purchase_view/56985694", "UA-2025-01-28-012986-a")</f>
        <v>UA-2025-01-28-012986-a</v>
      </c>
      <c r="C854" s="1" t="s">
        <v>1945</v>
      </c>
      <c r="D854" s="1" t="s">
        <v>1300</v>
      </c>
      <c r="E854" s="1" t="s">
        <v>1553</v>
      </c>
      <c r="F854" s="1" t="s">
        <v>87</v>
      </c>
      <c r="G854" s="1" t="s">
        <v>2137</v>
      </c>
      <c r="H854" s="1" t="s">
        <v>836</v>
      </c>
      <c r="I854" s="1" t="s">
        <v>1175</v>
      </c>
      <c r="J854" s="6">
        <v>3096</v>
      </c>
      <c r="K854" s="5">
        <v>45685</v>
      </c>
      <c r="L854" s="7">
        <v>46022</v>
      </c>
    </row>
    <row r="855" spans="1:12" hidden="1" x14ac:dyDescent="0.25">
      <c r="A855" s="4">
        <v>849</v>
      </c>
      <c r="B855" s="2" t="str">
        <f>HYPERLINK("https://my.zakupivli.pro/remote/dispatcher/state_purchase_view/56979377", "UA-2025-01-28-010094-a")</f>
        <v>UA-2025-01-28-010094-a</v>
      </c>
      <c r="C855" s="1" t="s">
        <v>17</v>
      </c>
      <c r="D855" s="1" t="s">
        <v>493</v>
      </c>
      <c r="E855" s="1" t="s">
        <v>1553</v>
      </c>
      <c r="F855" s="1" t="s">
        <v>87</v>
      </c>
      <c r="G855" s="1" t="s">
        <v>1623</v>
      </c>
      <c r="H855" s="1" t="s">
        <v>579</v>
      </c>
      <c r="I855" s="1" t="s">
        <v>1239</v>
      </c>
      <c r="J855" s="6">
        <v>40000</v>
      </c>
      <c r="K855" s="5">
        <v>45685</v>
      </c>
      <c r="L855" s="7">
        <v>46022</v>
      </c>
    </row>
    <row r="856" spans="1:12" hidden="1" x14ac:dyDescent="0.25">
      <c r="A856" s="4">
        <v>850</v>
      </c>
      <c r="B856" s="2" t="str">
        <f>HYPERLINK("https://my.zakupivli.pro/remote/dispatcher/state_purchase_view/56978768", "UA-2025-01-28-009859-a")</f>
        <v>UA-2025-01-28-009859-a</v>
      </c>
      <c r="C856" s="1" t="s">
        <v>21</v>
      </c>
      <c r="D856" s="1" t="s">
        <v>594</v>
      </c>
      <c r="E856" s="1" t="s">
        <v>1553</v>
      </c>
      <c r="F856" s="1" t="s">
        <v>87</v>
      </c>
      <c r="G856" s="1" t="s">
        <v>1551</v>
      </c>
      <c r="H856" s="1" t="s">
        <v>536</v>
      </c>
      <c r="I856" s="1" t="s">
        <v>1236</v>
      </c>
      <c r="J856" s="6">
        <v>10000</v>
      </c>
      <c r="K856" s="5">
        <v>45685</v>
      </c>
      <c r="L856" s="7">
        <v>46022</v>
      </c>
    </row>
    <row r="857" spans="1:12" hidden="1" x14ac:dyDescent="0.25">
      <c r="A857" s="4">
        <v>851</v>
      </c>
      <c r="B857" s="2" t="str">
        <f>HYPERLINK("https://my.zakupivli.pro/remote/dispatcher/state_purchase_view/56934840", "UA-2025-01-27-009664-a")</f>
        <v>UA-2025-01-27-009664-a</v>
      </c>
      <c r="C857" s="1" t="s">
        <v>4</v>
      </c>
      <c r="D857" s="1" t="s">
        <v>909</v>
      </c>
      <c r="E857" s="1" t="s">
        <v>1553</v>
      </c>
      <c r="F857" s="1" t="s">
        <v>87</v>
      </c>
      <c r="G857" s="1" t="s">
        <v>2018</v>
      </c>
      <c r="H857" s="1" t="s">
        <v>611</v>
      </c>
      <c r="I857" s="1" t="s">
        <v>1214</v>
      </c>
      <c r="J857" s="6">
        <v>7436</v>
      </c>
      <c r="K857" s="5">
        <v>45684</v>
      </c>
      <c r="L857" s="7">
        <v>45688</v>
      </c>
    </row>
    <row r="858" spans="1:12" hidden="1" x14ac:dyDescent="0.25">
      <c r="A858" s="4">
        <v>852</v>
      </c>
      <c r="B858" s="2" t="str">
        <f>HYPERLINK("https://my.zakupivli.pro/remote/dispatcher/state_purchase_view/56934337", "UA-2025-01-27-009418-a")</f>
        <v>UA-2025-01-27-009418-a</v>
      </c>
      <c r="C858" s="1" t="s">
        <v>1530</v>
      </c>
      <c r="D858" s="1" t="s">
        <v>438</v>
      </c>
      <c r="E858" s="1" t="s">
        <v>1553</v>
      </c>
      <c r="F858" s="1" t="s">
        <v>87</v>
      </c>
      <c r="G858" s="1" t="s">
        <v>2115</v>
      </c>
      <c r="H858" s="1" t="s">
        <v>874</v>
      </c>
      <c r="I858" s="1" t="s">
        <v>1229</v>
      </c>
      <c r="J858" s="6">
        <v>1260</v>
      </c>
      <c r="K858" s="5">
        <v>45684</v>
      </c>
      <c r="L858" s="7">
        <v>46022</v>
      </c>
    </row>
    <row r="859" spans="1:12" hidden="1" x14ac:dyDescent="0.25">
      <c r="A859" s="4">
        <v>853</v>
      </c>
      <c r="B859" s="2" t="str">
        <f>HYPERLINK("https://my.zakupivli.pro/remote/dispatcher/state_purchase_view/56899698", "UA-2025-01-24-013791-a")</f>
        <v>UA-2025-01-24-013791-a</v>
      </c>
      <c r="C859" s="1" t="s">
        <v>2195</v>
      </c>
      <c r="D859" s="1" t="s">
        <v>1253</v>
      </c>
      <c r="E859" s="1" t="s">
        <v>1553</v>
      </c>
      <c r="F859" s="1" t="s">
        <v>87</v>
      </c>
      <c r="G859" s="1" t="s">
        <v>1492</v>
      </c>
      <c r="H859" s="1" t="s">
        <v>794</v>
      </c>
      <c r="I859" s="1" t="s">
        <v>933</v>
      </c>
      <c r="J859" s="6">
        <v>266400</v>
      </c>
      <c r="K859" s="5">
        <v>45698</v>
      </c>
      <c r="L859" s="7">
        <v>46017</v>
      </c>
    </row>
    <row r="860" spans="1:12" hidden="1" x14ac:dyDescent="0.25">
      <c r="A860" s="4">
        <v>854</v>
      </c>
      <c r="B860" s="2" t="str">
        <f>HYPERLINK("https://my.zakupivli.pro/remote/dispatcher/state_purchase_view/56880066", "UA-2025-01-24-004928-a")</f>
        <v>UA-2025-01-24-004928-a</v>
      </c>
      <c r="C860" s="1" t="s">
        <v>1883</v>
      </c>
      <c r="D860" s="1" t="s">
        <v>1253</v>
      </c>
      <c r="E860" s="1" t="s">
        <v>1553</v>
      </c>
      <c r="F860" s="1" t="s">
        <v>87</v>
      </c>
      <c r="G860" s="1" t="s">
        <v>1475</v>
      </c>
      <c r="H860" s="1" t="s">
        <v>112</v>
      </c>
      <c r="I860" s="1" t="s">
        <v>1408</v>
      </c>
      <c r="J860" s="6">
        <v>8466.2900000000009</v>
      </c>
      <c r="K860" s="5">
        <v>45673</v>
      </c>
      <c r="L860" s="7">
        <v>46022</v>
      </c>
    </row>
    <row r="861" spans="1:12" hidden="1" x14ac:dyDescent="0.25">
      <c r="A861" s="4">
        <v>855</v>
      </c>
      <c r="B861" s="2" t="str">
        <f>HYPERLINK("https://my.zakupivli.pro/remote/dispatcher/state_purchase_view/56879511", "UA-2025-01-24-004621-a")</f>
        <v>UA-2025-01-24-004621-a</v>
      </c>
      <c r="C861" s="1" t="s">
        <v>1658</v>
      </c>
      <c r="D861" s="1" t="s">
        <v>884</v>
      </c>
      <c r="E861" s="1" t="s">
        <v>1553</v>
      </c>
      <c r="F861" s="1" t="s">
        <v>87</v>
      </c>
      <c r="G861" s="1" t="s">
        <v>1635</v>
      </c>
      <c r="H861" s="1" t="s">
        <v>525</v>
      </c>
      <c r="I861" s="1" t="s">
        <v>419</v>
      </c>
      <c r="J861" s="6">
        <v>15310</v>
      </c>
      <c r="K861" s="5">
        <v>45681</v>
      </c>
      <c r="L861" s="7">
        <v>46022</v>
      </c>
    </row>
    <row r="862" spans="1:12" hidden="1" x14ac:dyDescent="0.25">
      <c r="A862" s="4">
        <v>856</v>
      </c>
      <c r="B862" s="2" t="str">
        <f>HYPERLINK("https://my.zakupivli.pro/remote/dispatcher/state_purchase_view/56838169", "UA-2025-01-23-007214-a")</f>
        <v>UA-2025-01-23-007214-a</v>
      </c>
      <c r="C862" s="1" t="s">
        <v>1655</v>
      </c>
      <c r="D862" s="1" t="s">
        <v>970</v>
      </c>
      <c r="E862" s="1" t="s">
        <v>1553</v>
      </c>
      <c r="F862" s="1" t="s">
        <v>87</v>
      </c>
      <c r="G862" s="1" t="s">
        <v>1623</v>
      </c>
      <c r="H862" s="1" t="s">
        <v>579</v>
      </c>
      <c r="I862" s="1" t="s">
        <v>1191</v>
      </c>
      <c r="J862" s="6">
        <v>2450</v>
      </c>
      <c r="K862" s="5">
        <v>45680</v>
      </c>
      <c r="L862" s="7">
        <v>46022</v>
      </c>
    </row>
    <row r="863" spans="1:12" hidden="1" x14ac:dyDescent="0.25">
      <c r="A863" s="4">
        <v>857</v>
      </c>
      <c r="B863" s="2" t="str">
        <f>HYPERLINK("https://my.zakupivli.pro/remote/dispatcher/state_purchase_view/56837120", "UA-2025-01-23-006797-a")</f>
        <v>UA-2025-01-23-006797-a</v>
      </c>
      <c r="C863" s="1" t="s">
        <v>1513</v>
      </c>
      <c r="D863" s="1" t="s">
        <v>995</v>
      </c>
      <c r="E863" s="1" t="s">
        <v>1553</v>
      </c>
      <c r="F863" s="1" t="s">
        <v>87</v>
      </c>
      <c r="G863" s="1" t="s">
        <v>1623</v>
      </c>
      <c r="H863" s="1" t="s">
        <v>579</v>
      </c>
      <c r="I863" s="1" t="s">
        <v>1190</v>
      </c>
      <c r="J863" s="6">
        <v>4959</v>
      </c>
      <c r="K863" s="5">
        <v>45680</v>
      </c>
      <c r="L863" s="7">
        <v>45688</v>
      </c>
    </row>
    <row r="864" spans="1:12" hidden="1" x14ac:dyDescent="0.25">
      <c r="A864" s="4">
        <v>858</v>
      </c>
      <c r="B864" s="2" t="str">
        <f>HYPERLINK("https://my.zakupivli.pro/remote/dispatcher/state_purchase_view/56835119", "UA-2025-01-23-005950-a")</f>
        <v>UA-2025-01-23-005950-a</v>
      </c>
      <c r="C864" s="1" t="s">
        <v>1937</v>
      </c>
      <c r="D864" s="1" t="s">
        <v>856</v>
      </c>
      <c r="E864" s="1" t="s">
        <v>1553</v>
      </c>
      <c r="F864" s="1" t="s">
        <v>87</v>
      </c>
      <c r="G864" s="1" t="s">
        <v>1479</v>
      </c>
      <c r="H864" s="1" t="s">
        <v>794</v>
      </c>
      <c r="I864" s="1" t="s">
        <v>530</v>
      </c>
      <c r="J864" s="6">
        <v>3948</v>
      </c>
      <c r="K864" s="5">
        <v>45680</v>
      </c>
      <c r="L864" s="7">
        <v>45747</v>
      </c>
    </row>
    <row r="865" spans="1:12" hidden="1" x14ac:dyDescent="0.25">
      <c r="A865" s="4">
        <v>859</v>
      </c>
      <c r="B865" s="2" t="str">
        <f>HYPERLINK("https://my.zakupivli.pro/remote/dispatcher/state_purchase_view/56833597", "UA-2025-01-23-005324-a")</f>
        <v>UA-2025-01-23-005324-a</v>
      </c>
      <c r="C865" s="1" t="s">
        <v>1907</v>
      </c>
      <c r="D865" s="1" t="s">
        <v>1061</v>
      </c>
      <c r="E865" s="1" t="s">
        <v>1553</v>
      </c>
      <c r="F865" s="1" t="s">
        <v>87</v>
      </c>
      <c r="G865" s="1" t="s">
        <v>1560</v>
      </c>
      <c r="H865" s="1" t="s">
        <v>108</v>
      </c>
      <c r="I865" s="1" t="s">
        <v>1188</v>
      </c>
      <c r="J865" s="6">
        <v>600</v>
      </c>
      <c r="K865" s="5">
        <v>45680</v>
      </c>
      <c r="L865" s="7">
        <v>46022</v>
      </c>
    </row>
    <row r="866" spans="1:12" hidden="1" x14ac:dyDescent="0.25">
      <c r="A866" s="4">
        <v>860</v>
      </c>
      <c r="B866" s="2" t="str">
        <f>HYPERLINK("https://my.zakupivli.pro/remote/dispatcher/state_purchase_view/56832154", "UA-2025-01-23-004592-a")</f>
        <v>UA-2025-01-23-004592-a</v>
      </c>
      <c r="C866" s="1" t="s">
        <v>16</v>
      </c>
      <c r="D866" s="1" t="s">
        <v>1021</v>
      </c>
      <c r="E866" s="1" t="s">
        <v>1553</v>
      </c>
      <c r="F866" s="1" t="s">
        <v>87</v>
      </c>
      <c r="G866" s="1" t="s">
        <v>1743</v>
      </c>
      <c r="H866" s="1" t="s">
        <v>538</v>
      </c>
      <c r="I866" s="1" t="s">
        <v>1181</v>
      </c>
      <c r="J866" s="6">
        <v>8150</v>
      </c>
      <c r="K866" s="5">
        <v>45679</v>
      </c>
      <c r="L866" s="7">
        <v>45688</v>
      </c>
    </row>
    <row r="867" spans="1:12" hidden="1" x14ac:dyDescent="0.25">
      <c r="A867" s="4">
        <v>861</v>
      </c>
      <c r="B867" s="2" t="str">
        <f>HYPERLINK("https://my.zakupivli.pro/remote/dispatcher/state_purchase_view/56831458", "UA-2025-01-23-004310-a")</f>
        <v>UA-2025-01-23-004310-a</v>
      </c>
      <c r="C867" s="1" t="s">
        <v>1574</v>
      </c>
      <c r="D867" s="1" t="s">
        <v>593</v>
      </c>
      <c r="E867" s="1" t="s">
        <v>1553</v>
      </c>
      <c r="F867" s="1" t="s">
        <v>87</v>
      </c>
      <c r="G867" s="1" t="s">
        <v>1743</v>
      </c>
      <c r="H867" s="1" t="s">
        <v>538</v>
      </c>
      <c r="I867" s="1" t="s">
        <v>1184</v>
      </c>
      <c r="J867" s="6">
        <v>680</v>
      </c>
      <c r="K867" s="5">
        <v>45679</v>
      </c>
      <c r="L867" s="7">
        <v>45688</v>
      </c>
    </row>
    <row r="868" spans="1:12" hidden="1" x14ac:dyDescent="0.25">
      <c r="A868" s="4">
        <v>862</v>
      </c>
      <c r="B868" s="2" t="str">
        <f>HYPERLINK("https://my.zakupivli.pro/remote/dispatcher/state_purchase_view/56830646", "UA-2025-01-23-003942-a")</f>
        <v>UA-2025-01-23-003942-a</v>
      </c>
      <c r="C868" s="1" t="s">
        <v>1656</v>
      </c>
      <c r="D868" s="1" t="s">
        <v>598</v>
      </c>
      <c r="E868" s="1" t="s">
        <v>1553</v>
      </c>
      <c r="F868" s="1" t="s">
        <v>87</v>
      </c>
      <c r="G868" s="1" t="s">
        <v>1743</v>
      </c>
      <c r="H868" s="1" t="s">
        <v>538</v>
      </c>
      <c r="I868" s="1" t="s">
        <v>1185</v>
      </c>
      <c r="J868" s="6">
        <v>4290</v>
      </c>
      <c r="K868" s="5">
        <v>45679</v>
      </c>
      <c r="L868" s="7">
        <v>45688</v>
      </c>
    </row>
    <row r="869" spans="1:12" hidden="1" x14ac:dyDescent="0.25">
      <c r="A869" s="4">
        <v>863</v>
      </c>
      <c r="B869" s="2" t="str">
        <f>HYPERLINK("https://my.zakupivli.pro/remote/dispatcher/state_purchase_view/56828269", "UA-2025-01-23-002928-a")</f>
        <v>UA-2025-01-23-002928-a</v>
      </c>
      <c r="C869" s="1" t="s">
        <v>2050</v>
      </c>
      <c r="D869" s="1" t="s">
        <v>881</v>
      </c>
      <c r="E869" s="1" t="s">
        <v>1553</v>
      </c>
      <c r="F869" s="1" t="s">
        <v>87</v>
      </c>
      <c r="G869" s="1" t="s">
        <v>1635</v>
      </c>
      <c r="H869" s="1" t="s">
        <v>525</v>
      </c>
      <c r="I869" s="1" t="s">
        <v>396</v>
      </c>
      <c r="J869" s="6">
        <v>20920</v>
      </c>
      <c r="K869" s="5">
        <v>45680</v>
      </c>
      <c r="L869" s="7">
        <v>46022</v>
      </c>
    </row>
    <row r="870" spans="1:12" hidden="1" x14ac:dyDescent="0.25">
      <c r="A870" s="4">
        <v>864</v>
      </c>
      <c r="B870" s="2" t="str">
        <f>HYPERLINK("https://my.zakupivli.pro/remote/dispatcher/state_purchase_view/56826863", "UA-2025-01-23-002353-a")</f>
        <v>UA-2025-01-23-002353-a</v>
      </c>
      <c r="C870" s="1" t="s">
        <v>2280</v>
      </c>
      <c r="D870" s="1" t="s">
        <v>881</v>
      </c>
      <c r="E870" s="1" t="s">
        <v>1553</v>
      </c>
      <c r="F870" s="1" t="s">
        <v>87</v>
      </c>
      <c r="G870" s="1" t="s">
        <v>1635</v>
      </c>
      <c r="H870" s="1" t="s">
        <v>525</v>
      </c>
      <c r="I870" s="1" t="s">
        <v>448</v>
      </c>
      <c r="J870" s="6">
        <v>14780</v>
      </c>
      <c r="K870" s="5">
        <v>45680</v>
      </c>
      <c r="L870" s="7">
        <v>46022</v>
      </c>
    </row>
    <row r="871" spans="1:12" hidden="1" x14ac:dyDescent="0.25">
      <c r="A871" s="4">
        <v>865</v>
      </c>
      <c r="B871" s="2" t="str">
        <f>HYPERLINK("https://my.zakupivli.pro/remote/dispatcher/state_purchase_view/56805725", "UA-2025-01-22-013884-a")</f>
        <v>UA-2025-01-22-013884-a</v>
      </c>
      <c r="C871" s="1" t="s">
        <v>1914</v>
      </c>
      <c r="D871" s="1" t="s">
        <v>1266</v>
      </c>
      <c r="E871" s="1" t="s">
        <v>1553</v>
      </c>
      <c r="F871" s="1" t="s">
        <v>87</v>
      </c>
      <c r="G871" s="1" t="s">
        <v>1565</v>
      </c>
      <c r="H871" s="1" t="s">
        <v>646</v>
      </c>
      <c r="I871" s="1" t="s">
        <v>504</v>
      </c>
      <c r="J871" s="6">
        <v>4370</v>
      </c>
      <c r="K871" s="5">
        <v>45679</v>
      </c>
      <c r="L871" s="7">
        <v>46022</v>
      </c>
    </row>
    <row r="872" spans="1:12" hidden="1" x14ac:dyDescent="0.25">
      <c r="A872" s="4">
        <v>866</v>
      </c>
      <c r="B872" s="2" t="str">
        <f>HYPERLINK("https://my.zakupivli.pro/remote/dispatcher/state_purchase_view/56804769", "UA-2025-01-22-013485-a")</f>
        <v>UA-2025-01-22-013485-a</v>
      </c>
      <c r="C872" s="1" t="s">
        <v>2030</v>
      </c>
      <c r="D872" s="1" t="s">
        <v>695</v>
      </c>
      <c r="E872" s="1" t="s">
        <v>1553</v>
      </c>
      <c r="F872" s="1" t="s">
        <v>87</v>
      </c>
      <c r="G872" s="1" t="s">
        <v>2265</v>
      </c>
      <c r="H872" s="1" t="s">
        <v>636</v>
      </c>
      <c r="I872" s="1" t="s">
        <v>1176</v>
      </c>
      <c r="J872" s="6">
        <v>91200</v>
      </c>
      <c r="K872" s="5">
        <v>45679</v>
      </c>
      <c r="L872" s="7">
        <v>46022</v>
      </c>
    </row>
    <row r="873" spans="1:12" hidden="1" x14ac:dyDescent="0.25">
      <c r="A873" s="4">
        <v>867</v>
      </c>
      <c r="B873" s="2" t="str">
        <f>HYPERLINK("https://my.zakupivli.pro/remote/dispatcher/state_purchase_view/56803186", "UA-2025-01-22-012811-a")</f>
        <v>UA-2025-01-22-012811-a</v>
      </c>
      <c r="C873" s="1" t="s">
        <v>1484</v>
      </c>
      <c r="D873" s="1" t="s">
        <v>266</v>
      </c>
      <c r="E873" s="1" t="s">
        <v>1553</v>
      </c>
      <c r="F873" s="1" t="s">
        <v>87</v>
      </c>
      <c r="G873" s="1" t="s">
        <v>2108</v>
      </c>
      <c r="H873" s="1" t="s">
        <v>846</v>
      </c>
      <c r="I873" s="1" t="s">
        <v>1736</v>
      </c>
      <c r="J873" s="6">
        <v>3817.8</v>
      </c>
      <c r="K873" s="5">
        <v>45672</v>
      </c>
      <c r="L873" s="7">
        <v>46022</v>
      </c>
    </row>
    <row r="874" spans="1:12" hidden="1" x14ac:dyDescent="0.25">
      <c r="A874" s="4">
        <v>868</v>
      </c>
      <c r="B874" s="2" t="str">
        <f>HYPERLINK("https://my.zakupivli.pro/remote/dispatcher/state_purchase_view/56799193", "UA-2025-01-22-011017-a")</f>
        <v>UA-2025-01-22-011017-a</v>
      </c>
      <c r="C874" s="1" t="s">
        <v>47</v>
      </c>
      <c r="D874" s="1" t="s">
        <v>642</v>
      </c>
      <c r="E874" s="1" t="s">
        <v>1553</v>
      </c>
      <c r="F874" s="1" t="s">
        <v>87</v>
      </c>
      <c r="G874" s="1" t="s">
        <v>1623</v>
      </c>
      <c r="H874" s="1" t="s">
        <v>579</v>
      </c>
      <c r="I874" s="1" t="s">
        <v>1173</v>
      </c>
      <c r="J874" s="6">
        <v>99900</v>
      </c>
      <c r="K874" s="5">
        <v>45679</v>
      </c>
      <c r="L874" s="7">
        <v>46022</v>
      </c>
    </row>
    <row r="875" spans="1:12" hidden="1" x14ac:dyDescent="0.25">
      <c r="A875" s="4">
        <v>869</v>
      </c>
      <c r="B875" s="2" t="str">
        <f>HYPERLINK("https://my.zakupivli.pro/remote/dispatcher/state_purchase_view/56797961", "UA-2025-01-22-010514-a")</f>
        <v>UA-2025-01-22-010514-a</v>
      </c>
      <c r="C875" s="1" t="s">
        <v>13</v>
      </c>
      <c r="D875" s="1" t="s">
        <v>641</v>
      </c>
      <c r="E875" s="1" t="s">
        <v>1553</v>
      </c>
      <c r="F875" s="1" t="s">
        <v>87</v>
      </c>
      <c r="G875" s="1" t="s">
        <v>1623</v>
      </c>
      <c r="H875" s="1" t="s">
        <v>579</v>
      </c>
      <c r="I875" s="1" t="s">
        <v>1176</v>
      </c>
      <c r="J875" s="6">
        <v>40000</v>
      </c>
      <c r="K875" s="5">
        <v>45679</v>
      </c>
      <c r="L875" s="7">
        <v>46022</v>
      </c>
    </row>
    <row r="876" spans="1:12" hidden="1" x14ac:dyDescent="0.25">
      <c r="A876" s="4">
        <v>870</v>
      </c>
      <c r="B876" s="2" t="str">
        <f>HYPERLINK("https://my.zakupivli.pro/remote/dispatcher/state_purchase_view/56797114", "UA-2025-01-22-010129-a")</f>
        <v>UA-2025-01-22-010129-a</v>
      </c>
      <c r="C876" s="1" t="s">
        <v>4</v>
      </c>
      <c r="D876" s="1" t="s">
        <v>909</v>
      </c>
      <c r="E876" s="1" t="s">
        <v>1553</v>
      </c>
      <c r="F876" s="1" t="s">
        <v>87</v>
      </c>
      <c r="G876" s="1" t="s">
        <v>2018</v>
      </c>
      <c r="H876" s="1" t="s">
        <v>611</v>
      </c>
      <c r="I876" s="1" t="s">
        <v>1167</v>
      </c>
      <c r="J876" s="6">
        <v>3690</v>
      </c>
      <c r="K876" s="5">
        <v>45679</v>
      </c>
      <c r="L876" s="7">
        <v>45688</v>
      </c>
    </row>
    <row r="877" spans="1:12" hidden="1" x14ac:dyDescent="0.25">
      <c r="A877" s="4">
        <v>871</v>
      </c>
      <c r="B877" s="2" t="str">
        <f>HYPERLINK("https://my.zakupivli.pro/remote/dispatcher/state_purchase_view/56796005", "UA-2025-01-22-009570-a")</f>
        <v>UA-2025-01-22-009570-a</v>
      </c>
      <c r="C877" s="1" t="s">
        <v>1598</v>
      </c>
      <c r="D877" s="1" t="s">
        <v>1012</v>
      </c>
      <c r="E877" s="1" t="s">
        <v>1553</v>
      </c>
      <c r="F877" s="1" t="s">
        <v>87</v>
      </c>
      <c r="G877" s="1" t="s">
        <v>2018</v>
      </c>
      <c r="H877" s="1" t="s">
        <v>611</v>
      </c>
      <c r="I877" s="1" t="s">
        <v>1171</v>
      </c>
      <c r="J877" s="6">
        <v>8767</v>
      </c>
      <c r="K877" s="5">
        <v>45679</v>
      </c>
      <c r="L877" s="7">
        <v>45688</v>
      </c>
    </row>
    <row r="878" spans="1:12" hidden="1" x14ac:dyDescent="0.25">
      <c r="A878" s="4">
        <v>872</v>
      </c>
      <c r="B878" s="2" t="str">
        <f>HYPERLINK("https://my.zakupivli.pro/remote/dispatcher/state_purchase_view/56766779", "UA-2025-01-21-018433-a")</f>
        <v>UA-2025-01-21-018433-a</v>
      </c>
      <c r="C878" s="1" t="s">
        <v>1524</v>
      </c>
      <c r="D878" s="1" t="s">
        <v>1199</v>
      </c>
      <c r="E878" s="1" t="s">
        <v>1553</v>
      </c>
      <c r="F878" s="1" t="s">
        <v>87</v>
      </c>
      <c r="G878" s="1" t="s">
        <v>1374</v>
      </c>
      <c r="H878" s="1" t="s">
        <v>410</v>
      </c>
      <c r="I878" s="1" t="s">
        <v>235</v>
      </c>
      <c r="J878" s="6">
        <v>23219.26</v>
      </c>
      <c r="K878" s="5">
        <v>45678</v>
      </c>
      <c r="L878" s="7">
        <v>46022</v>
      </c>
    </row>
    <row r="879" spans="1:12" hidden="1" x14ac:dyDescent="0.25">
      <c r="A879" s="4">
        <v>873</v>
      </c>
      <c r="B879" s="2" t="str">
        <f>HYPERLINK("https://my.zakupivli.pro/remote/dispatcher/state_purchase_view/56761726", "UA-2025-01-21-016202-a")</f>
        <v>UA-2025-01-21-016202-a</v>
      </c>
      <c r="C879" s="1" t="s">
        <v>24</v>
      </c>
      <c r="D879" s="1" t="s">
        <v>713</v>
      </c>
      <c r="E879" s="1" t="s">
        <v>1553</v>
      </c>
      <c r="F879" s="1" t="s">
        <v>87</v>
      </c>
      <c r="G879" s="1" t="s">
        <v>2036</v>
      </c>
      <c r="H879" s="1" t="s">
        <v>766</v>
      </c>
      <c r="I879" s="1" t="s">
        <v>1164</v>
      </c>
      <c r="J879" s="6">
        <v>18962</v>
      </c>
      <c r="K879" s="5">
        <v>45678</v>
      </c>
      <c r="L879" s="7">
        <v>46022</v>
      </c>
    </row>
    <row r="880" spans="1:12" hidden="1" x14ac:dyDescent="0.25">
      <c r="A880" s="4">
        <v>874</v>
      </c>
      <c r="B880" s="2" t="str">
        <f>HYPERLINK("https://my.zakupivli.pro/remote/dispatcher/state_purchase_view/56739252", "UA-2025-01-21-006242-a")</f>
        <v>UA-2025-01-21-006242-a</v>
      </c>
      <c r="C880" s="1" t="s">
        <v>1449</v>
      </c>
      <c r="D880" s="1" t="s">
        <v>1061</v>
      </c>
      <c r="E880" s="1" t="s">
        <v>1553</v>
      </c>
      <c r="F880" s="1" t="s">
        <v>87</v>
      </c>
      <c r="G880" s="1" t="s">
        <v>1772</v>
      </c>
      <c r="H880" s="1" t="s">
        <v>796</v>
      </c>
      <c r="I880" s="1" t="s">
        <v>1118</v>
      </c>
      <c r="J880" s="6">
        <v>47664.9</v>
      </c>
      <c r="K880" s="5">
        <v>45677</v>
      </c>
      <c r="L880" s="7">
        <v>46022</v>
      </c>
    </row>
    <row r="881" spans="1:12" hidden="1" x14ac:dyDescent="0.25">
      <c r="A881" s="4">
        <v>875</v>
      </c>
      <c r="B881" s="2" t="str">
        <f>HYPERLINK("https://my.zakupivli.pro/remote/dispatcher/state_purchase_view/56735420", "UA-2025-01-21-004495-a")</f>
        <v>UA-2025-01-21-004495-a</v>
      </c>
      <c r="C881" s="1" t="s">
        <v>1809</v>
      </c>
      <c r="D881" s="1" t="s">
        <v>1071</v>
      </c>
      <c r="E881" s="1" t="s">
        <v>1553</v>
      </c>
      <c r="F881" s="1" t="s">
        <v>87</v>
      </c>
      <c r="G881" s="1" t="s">
        <v>1772</v>
      </c>
      <c r="H881" s="1" t="s">
        <v>796</v>
      </c>
      <c r="I881" s="1" t="s">
        <v>1133</v>
      </c>
      <c r="J881" s="6">
        <v>80478.679999999993</v>
      </c>
      <c r="K881" s="5">
        <v>45677</v>
      </c>
      <c r="L881" s="7">
        <v>46022</v>
      </c>
    </row>
    <row r="882" spans="1:12" hidden="1" x14ac:dyDescent="0.25">
      <c r="A882" s="4">
        <v>876</v>
      </c>
      <c r="B882" s="2" t="str">
        <f>HYPERLINK("https://my.zakupivli.pro/remote/dispatcher/state_purchase_view/56727046", "UA-2025-01-21-000789-a")</f>
        <v>UA-2025-01-21-000789-a</v>
      </c>
      <c r="C882" s="1" t="s">
        <v>1925</v>
      </c>
      <c r="D882" s="1" t="s">
        <v>1211</v>
      </c>
      <c r="E882" s="1" t="s">
        <v>1553</v>
      </c>
      <c r="F882" s="1" t="s">
        <v>87</v>
      </c>
      <c r="G882" s="1" t="s">
        <v>1370</v>
      </c>
      <c r="H882" s="1" t="s">
        <v>58</v>
      </c>
      <c r="I882" s="1" t="s">
        <v>427</v>
      </c>
      <c r="J882" s="6">
        <v>15000</v>
      </c>
      <c r="K882" s="5">
        <v>45674</v>
      </c>
      <c r="L882" s="7">
        <v>46022</v>
      </c>
    </row>
    <row r="883" spans="1:12" hidden="1" x14ac:dyDescent="0.25">
      <c r="A883" s="4">
        <v>877</v>
      </c>
      <c r="B883" s="2" t="str">
        <f>HYPERLINK("https://my.zakupivli.pro/remote/dispatcher/state_purchase_view/56700999", "UA-2025-01-20-010066-a")</f>
        <v>UA-2025-01-20-010066-a</v>
      </c>
      <c r="C883" s="1" t="s">
        <v>1614</v>
      </c>
      <c r="D883" s="1" t="s">
        <v>713</v>
      </c>
      <c r="E883" s="1" t="s">
        <v>1553</v>
      </c>
      <c r="F883" s="1" t="s">
        <v>87</v>
      </c>
      <c r="G883" s="1" t="s">
        <v>2103</v>
      </c>
      <c r="H883" s="1" t="s">
        <v>812</v>
      </c>
      <c r="I883" s="1" t="s">
        <v>1281</v>
      </c>
      <c r="J883" s="6">
        <v>15960</v>
      </c>
      <c r="K883" s="5">
        <v>45677</v>
      </c>
      <c r="L883" s="7">
        <v>46022</v>
      </c>
    </row>
    <row r="884" spans="1:12" hidden="1" x14ac:dyDescent="0.25">
      <c r="A884" s="4">
        <v>878</v>
      </c>
      <c r="B884" s="2" t="str">
        <f>HYPERLINK("https://my.zakupivli.pro/remote/dispatcher/state_purchase_view/56700212", "UA-2025-01-20-009696-a")</f>
        <v>UA-2025-01-20-009696-a</v>
      </c>
      <c r="C884" s="1" t="s">
        <v>1434</v>
      </c>
      <c r="D884" s="1" t="s">
        <v>851</v>
      </c>
      <c r="E884" s="1" t="s">
        <v>1553</v>
      </c>
      <c r="F884" s="1" t="s">
        <v>87</v>
      </c>
      <c r="G884" s="1" t="s">
        <v>2111</v>
      </c>
      <c r="H884" s="1" t="s">
        <v>460</v>
      </c>
      <c r="I884" s="1" t="s">
        <v>1238</v>
      </c>
      <c r="J884" s="6">
        <v>1830</v>
      </c>
      <c r="K884" s="5">
        <v>45677</v>
      </c>
      <c r="L884" s="7">
        <v>45688</v>
      </c>
    </row>
    <row r="885" spans="1:12" hidden="1" x14ac:dyDescent="0.25">
      <c r="A885" s="4">
        <v>879</v>
      </c>
      <c r="B885" s="2" t="str">
        <f>HYPERLINK("https://my.zakupivli.pro/remote/dispatcher/state_purchase_view/56699074", "UA-2025-01-20-009278-a")</f>
        <v>UA-2025-01-20-009278-a</v>
      </c>
      <c r="C885" s="1" t="s">
        <v>2</v>
      </c>
      <c r="D885" s="1" t="s">
        <v>1041</v>
      </c>
      <c r="E885" s="1" t="s">
        <v>1553</v>
      </c>
      <c r="F885" s="1" t="s">
        <v>87</v>
      </c>
      <c r="G885" s="1" t="s">
        <v>1623</v>
      </c>
      <c r="H885" s="1" t="s">
        <v>579</v>
      </c>
      <c r="I885" s="1" t="s">
        <v>1085</v>
      </c>
      <c r="J885" s="6">
        <v>80000</v>
      </c>
      <c r="K885" s="5">
        <v>45677</v>
      </c>
      <c r="L885" s="7">
        <v>46022</v>
      </c>
    </row>
    <row r="886" spans="1:12" hidden="1" x14ac:dyDescent="0.25">
      <c r="A886" s="4">
        <v>880</v>
      </c>
      <c r="B886" s="2" t="str">
        <f>HYPERLINK("https://my.zakupivli.pro/remote/dispatcher/state_purchase_view/56698576", "UA-2025-01-20-009095-a")</f>
        <v>UA-2025-01-20-009095-a</v>
      </c>
      <c r="C886" s="1" t="s">
        <v>1423</v>
      </c>
      <c r="D886" s="1" t="s">
        <v>1022</v>
      </c>
      <c r="E886" s="1" t="s">
        <v>1553</v>
      </c>
      <c r="F886" s="1" t="s">
        <v>87</v>
      </c>
      <c r="G886" s="1" t="s">
        <v>1623</v>
      </c>
      <c r="H886" s="1" t="s">
        <v>579</v>
      </c>
      <c r="I886" s="1" t="s">
        <v>1046</v>
      </c>
      <c r="J886" s="6">
        <v>80000</v>
      </c>
      <c r="K886" s="5">
        <v>45677</v>
      </c>
      <c r="L886" s="7">
        <v>46022</v>
      </c>
    </row>
    <row r="887" spans="1:12" hidden="1" x14ac:dyDescent="0.25">
      <c r="A887" s="4">
        <v>881</v>
      </c>
      <c r="B887" s="2" t="str">
        <f>HYPERLINK("https://my.zakupivli.pro/remote/dispatcher/state_purchase_view/56698303", "UA-2025-01-20-008925-a")</f>
        <v>UA-2025-01-20-008925-a</v>
      </c>
      <c r="C887" s="1" t="s">
        <v>16</v>
      </c>
      <c r="D887" s="1" t="s">
        <v>1021</v>
      </c>
      <c r="E887" s="1" t="s">
        <v>1553</v>
      </c>
      <c r="F887" s="1" t="s">
        <v>87</v>
      </c>
      <c r="G887" s="1" t="s">
        <v>1623</v>
      </c>
      <c r="H887" s="1" t="s">
        <v>579</v>
      </c>
      <c r="I887" s="1" t="s">
        <v>999</v>
      </c>
      <c r="J887" s="6">
        <v>60000</v>
      </c>
      <c r="K887" s="5">
        <v>45677</v>
      </c>
      <c r="L887" s="7">
        <v>46022</v>
      </c>
    </row>
    <row r="888" spans="1:12" hidden="1" x14ac:dyDescent="0.25">
      <c r="A888" s="4">
        <v>882</v>
      </c>
      <c r="B888" s="2" t="str">
        <f>HYPERLINK("https://my.zakupivli.pro/remote/dispatcher/state_purchase_view/56697822", "UA-2025-01-20-008765-a")</f>
        <v>UA-2025-01-20-008765-a</v>
      </c>
      <c r="C888" s="1" t="s">
        <v>1531</v>
      </c>
      <c r="D888" s="1" t="s">
        <v>1030</v>
      </c>
      <c r="E888" s="1" t="s">
        <v>1553</v>
      </c>
      <c r="F888" s="1" t="s">
        <v>87</v>
      </c>
      <c r="G888" s="1" t="s">
        <v>1623</v>
      </c>
      <c r="H888" s="1" t="s">
        <v>579</v>
      </c>
      <c r="I888" s="1" t="s">
        <v>978</v>
      </c>
      <c r="J888" s="6">
        <v>60000</v>
      </c>
      <c r="K888" s="5">
        <v>45677</v>
      </c>
      <c r="L888" s="7">
        <v>46022</v>
      </c>
    </row>
    <row r="889" spans="1:12" hidden="1" x14ac:dyDescent="0.25">
      <c r="A889" s="4">
        <v>883</v>
      </c>
      <c r="B889" s="2" t="str">
        <f>HYPERLINK("https://my.zakupivli.pro/remote/dispatcher/state_purchase_view/56697510", "UA-2025-01-20-008589-a")</f>
        <v>UA-2025-01-20-008589-a</v>
      </c>
      <c r="C889" s="1" t="s">
        <v>1527</v>
      </c>
      <c r="D889" s="1" t="s">
        <v>627</v>
      </c>
      <c r="E889" s="1" t="s">
        <v>1553</v>
      </c>
      <c r="F889" s="1" t="s">
        <v>87</v>
      </c>
      <c r="G889" s="1" t="s">
        <v>1623</v>
      </c>
      <c r="H889" s="1" t="s">
        <v>579</v>
      </c>
      <c r="I889" s="1" t="s">
        <v>959</v>
      </c>
      <c r="J889" s="6">
        <v>80000</v>
      </c>
      <c r="K889" s="5">
        <v>45677</v>
      </c>
      <c r="L889" s="7">
        <v>46022</v>
      </c>
    </row>
    <row r="890" spans="1:12" hidden="1" x14ac:dyDescent="0.25">
      <c r="A890" s="4">
        <v>884</v>
      </c>
      <c r="B890" s="2" t="str">
        <f>HYPERLINK("https://my.zakupivli.pro/remote/dispatcher/state_purchase_view/56697090", "UA-2025-01-20-008416-a")</f>
        <v>UA-2025-01-20-008416-a</v>
      </c>
      <c r="C890" s="1" t="s">
        <v>1548</v>
      </c>
      <c r="D890" s="1" t="s">
        <v>1029</v>
      </c>
      <c r="E890" s="1" t="s">
        <v>1553</v>
      </c>
      <c r="F890" s="1" t="s">
        <v>87</v>
      </c>
      <c r="G890" s="1" t="s">
        <v>1623</v>
      </c>
      <c r="H890" s="1" t="s">
        <v>579</v>
      </c>
      <c r="I890" s="1" t="s">
        <v>949</v>
      </c>
      <c r="J890" s="6">
        <v>80000</v>
      </c>
      <c r="K890" s="5">
        <v>45677</v>
      </c>
      <c r="L890" s="7">
        <v>46022</v>
      </c>
    </row>
    <row r="891" spans="1:12" hidden="1" x14ac:dyDescent="0.25">
      <c r="A891" s="4">
        <v>885</v>
      </c>
      <c r="B891" s="2" t="str">
        <f>HYPERLINK("https://my.zakupivli.pro/remote/dispatcher/state_purchase_view/56696825", "UA-2025-01-20-008263-a")</f>
        <v>UA-2025-01-20-008263-a</v>
      </c>
      <c r="C891" s="1" t="s">
        <v>20</v>
      </c>
      <c r="D891" s="1" t="s">
        <v>893</v>
      </c>
      <c r="E891" s="1" t="s">
        <v>1553</v>
      </c>
      <c r="F891" s="1" t="s">
        <v>87</v>
      </c>
      <c r="G891" s="1" t="s">
        <v>1623</v>
      </c>
      <c r="H891" s="1" t="s">
        <v>579</v>
      </c>
      <c r="I891" s="1" t="s">
        <v>932</v>
      </c>
      <c r="J891" s="6">
        <v>79990</v>
      </c>
      <c r="K891" s="5">
        <v>45677</v>
      </c>
      <c r="L891" s="7">
        <v>46022</v>
      </c>
    </row>
    <row r="892" spans="1:12" hidden="1" x14ac:dyDescent="0.25">
      <c r="A892" s="4">
        <v>886</v>
      </c>
      <c r="B892" s="2" t="str">
        <f>HYPERLINK("https://my.zakupivli.pro/remote/dispatcher/state_purchase_view/56691308", "UA-2025-01-20-005813-a")</f>
        <v>UA-2025-01-20-005813-a</v>
      </c>
      <c r="C892" s="1" t="s">
        <v>1512</v>
      </c>
      <c r="D892" s="1" t="s">
        <v>921</v>
      </c>
      <c r="E892" s="1" t="s">
        <v>1553</v>
      </c>
      <c r="F892" s="1" t="s">
        <v>87</v>
      </c>
      <c r="G892" s="1" t="s">
        <v>1623</v>
      </c>
      <c r="H892" s="1" t="s">
        <v>579</v>
      </c>
      <c r="I892" s="1" t="s">
        <v>839</v>
      </c>
      <c r="J892" s="6">
        <v>99900</v>
      </c>
      <c r="K892" s="5">
        <v>45677</v>
      </c>
      <c r="L892" s="7">
        <v>46022</v>
      </c>
    </row>
    <row r="893" spans="1:12" hidden="1" x14ac:dyDescent="0.25">
      <c r="A893" s="4">
        <v>887</v>
      </c>
      <c r="B893" s="2" t="str">
        <f>HYPERLINK("https://my.zakupivli.pro/remote/dispatcher/state_purchase_view/56690153", "UA-2025-01-20-005233-a")</f>
        <v>UA-2025-01-20-005233-a</v>
      </c>
      <c r="C893" s="1" t="s">
        <v>1439</v>
      </c>
      <c r="D893" s="1" t="s">
        <v>1024</v>
      </c>
      <c r="E893" s="1" t="s">
        <v>1553</v>
      </c>
      <c r="F893" s="1" t="s">
        <v>87</v>
      </c>
      <c r="G893" s="1" t="s">
        <v>1623</v>
      </c>
      <c r="H893" s="1" t="s">
        <v>579</v>
      </c>
      <c r="I893" s="1" t="s">
        <v>810</v>
      </c>
      <c r="J893" s="6">
        <v>99900</v>
      </c>
      <c r="K893" s="5">
        <v>45677</v>
      </c>
      <c r="L893" s="7">
        <v>46022</v>
      </c>
    </row>
    <row r="894" spans="1:12" hidden="1" x14ac:dyDescent="0.25">
      <c r="A894" s="4">
        <v>888</v>
      </c>
      <c r="B894" s="2" t="str">
        <f>HYPERLINK("https://my.zakupivli.pro/remote/dispatcher/state_purchase_view/56688544", "UA-2025-01-20-004571-a")</f>
        <v>UA-2025-01-20-004571-a</v>
      </c>
      <c r="C894" s="1" t="s">
        <v>1397</v>
      </c>
      <c r="D894" s="1" t="s">
        <v>963</v>
      </c>
      <c r="E894" s="1" t="s">
        <v>1553</v>
      </c>
      <c r="F894" s="1" t="s">
        <v>87</v>
      </c>
      <c r="G894" s="1" t="s">
        <v>1623</v>
      </c>
      <c r="H894" s="1" t="s">
        <v>579</v>
      </c>
      <c r="I894" s="1" t="s">
        <v>791</v>
      </c>
      <c r="J894" s="6">
        <v>80000</v>
      </c>
      <c r="K894" s="5">
        <v>45677</v>
      </c>
      <c r="L894" s="7">
        <v>46022</v>
      </c>
    </row>
    <row r="895" spans="1:12" hidden="1" x14ac:dyDescent="0.25">
      <c r="A895" s="4">
        <v>889</v>
      </c>
      <c r="B895" s="2" t="str">
        <f>HYPERLINK("https://my.zakupivli.pro/remote/dispatcher/state_purchase_view/56686763", "UA-2025-01-20-003801-a")</f>
        <v>UA-2025-01-20-003801-a</v>
      </c>
      <c r="C895" s="1" t="s">
        <v>1596</v>
      </c>
      <c r="D895" s="1" t="s">
        <v>596</v>
      </c>
      <c r="E895" s="1" t="s">
        <v>1553</v>
      </c>
      <c r="F895" s="1" t="s">
        <v>87</v>
      </c>
      <c r="G895" s="1" t="s">
        <v>1373</v>
      </c>
      <c r="H895" s="1" t="s">
        <v>409</v>
      </c>
      <c r="I895" s="1" t="s">
        <v>254</v>
      </c>
      <c r="J895" s="6">
        <v>900</v>
      </c>
      <c r="K895" s="5">
        <v>45677</v>
      </c>
      <c r="L895" s="7">
        <v>46022</v>
      </c>
    </row>
    <row r="896" spans="1:12" hidden="1" x14ac:dyDescent="0.25">
      <c r="A896" s="4">
        <v>890</v>
      </c>
      <c r="B896" s="2" t="str">
        <f>HYPERLINK("https://my.zakupivli.pro/remote/dispatcher/state_purchase_view/56685926", "UA-2025-01-20-003447-a")</f>
        <v>UA-2025-01-20-003447-a</v>
      </c>
      <c r="C896" s="1" t="s">
        <v>1547</v>
      </c>
      <c r="D896" s="1" t="s">
        <v>429</v>
      </c>
      <c r="E896" s="1" t="s">
        <v>1553</v>
      </c>
      <c r="F896" s="1" t="s">
        <v>87</v>
      </c>
      <c r="G896" s="1" t="s">
        <v>1373</v>
      </c>
      <c r="H896" s="1" t="s">
        <v>409</v>
      </c>
      <c r="I896" s="1" t="s">
        <v>255</v>
      </c>
      <c r="J896" s="6">
        <v>7920</v>
      </c>
      <c r="K896" s="5">
        <v>45677</v>
      </c>
      <c r="L896" s="7">
        <v>46022</v>
      </c>
    </row>
    <row r="897" spans="1:12" hidden="1" x14ac:dyDescent="0.25">
      <c r="A897" s="4">
        <v>891</v>
      </c>
      <c r="B897" s="2" t="str">
        <f>HYPERLINK("https://my.zakupivli.pro/remote/dispatcher/state_purchase_view/56656193", "UA-2025-01-17-010932-a")</f>
        <v>UA-2025-01-17-010932-a</v>
      </c>
      <c r="C897" s="1" t="s">
        <v>1883</v>
      </c>
      <c r="D897" s="1" t="s">
        <v>1253</v>
      </c>
      <c r="E897" s="1" t="s">
        <v>1553</v>
      </c>
      <c r="F897" s="1" t="s">
        <v>87</v>
      </c>
      <c r="G897" s="1" t="s">
        <v>2135</v>
      </c>
      <c r="H897" s="1" t="s">
        <v>958</v>
      </c>
      <c r="I897" s="1" t="s">
        <v>1403</v>
      </c>
      <c r="J897" s="6">
        <v>74141.240000000005</v>
      </c>
      <c r="K897" s="5">
        <v>45674</v>
      </c>
      <c r="L897" s="7">
        <v>46022</v>
      </c>
    </row>
    <row r="898" spans="1:12" hidden="1" x14ac:dyDescent="0.25">
      <c r="A898" s="4">
        <v>892</v>
      </c>
      <c r="B898" s="2" t="str">
        <f>HYPERLINK("https://my.zakupivli.pro/remote/dispatcher/state_purchase_view/56654990", "UA-2025-01-17-010372-a")</f>
        <v>UA-2025-01-17-010372-a</v>
      </c>
      <c r="C898" s="1" t="s">
        <v>1864</v>
      </c>
      <c r="D898" s="1" t="s">
        <v>1151</v>
      </c>
      <c r="E898" s="1" t="s">
        <v>1553</v>
      </c>
      <c r="F898" s="1" t="s">
        <v>87</v>
      </c>
      <c r="G898" s="1" t="s">
        <v>2131</v>
      </c>
      <c r="H898" s="1" t="s">
        <v>870</v>
      </c>
      <c r="I898" s="1" t="s">
        <v>772</v>
      </c>
      <c r="J898" s="6">
        <v>100</v>
      </c>
      <c r="K898" s="5">
        <v>45673</v>
      </c>
      <c r="L898" s="7">
        <v>46022</v>
      </c>
    </row>
    <row r="899" spans="1:12" hidden="1" x14ac:dyDescent="0.25">
      <c r="A899" s="4">
        <v>893</v>
      </c>
      <c r="B899" s="2" t="str">
        <f>HYPERLINK("https://my.zakupivli.pro/remote/dispatcher/state_purchase_view/56654439", "UA-2025-01-17-010176-a")</f>
        <v>UA-2025-01-17-010176-a</v>
      </c>
      <c r="C899" s="1" t="s">
        <v>2026</v>
      </c>
      <c r="D899" s="1" t="s">
        <v>740</v>
      </c>
      <c r="E899" s="1" t="s">
        <v>1553</v>
      </c>
      <c r="F899" s="1" t="s">
        <v>87</v>
      </c>
      <c r="G899" s="1" t="s">
        <v>1564</v>
      </c>
      <c r="H899" s="1" t="s">
        <v>722</v>
      </c>
      <c r="I899" s="1" t="s">
        <v>1179</v>
      </c>
      <c r="J899" s="6">
        <v>3375</v>
      </c>
      <c r="K899" s="5">
        <v>45671</v>
      </c>
      <c r="L899" s="7">
        <v>46022</v>
      </c>
    </row>
    <row r="900" spans="1:12" hidden="1" x14ac:dyDescent="0.25">
      <c r="A900" s="4">
        <v>894</v>
      </c>
      <c r="B900" s="2" t="str">
        <f>HYPERLINK("https://my.zakupivli.pro/remote/dispatcher/state_purchase_view/56647878", "UA-2025-01-17-007289-a")</f>
        <v>UA-2025-01-17-007289-a</v>
      </c>
      <c r="C900" s="1" t="s">
        <v>1887</v>
      </c>
      <c r="D900" s="1" t="s">
        <v>1206</v>
      </c>
      <c r="E900" s="1" t="s">
        <v>1553</v>
      </c>
      <c r="F900" s="1" t="s">
        <v>87</v>
      </c>
      <c r="G900" s="1" t="s">
        <v>1560</v>
      </c>
      <c r="H900" s="1" t="s">
        <v>108</v>
      </c>
      <c r="I900" s="1" t="s">
        <v>1174</v>
      </c>
      <c r="J900" s="6">
        <v>618948.24</v>
      </c>
      <c r="K900" s="5">
        <v>45658</v>
      </c>
      <c r="L900" s="7">
        <v>46017</v>
      </c>
    </row>
    <row r="901" spans="1:12" hidden="1" x14ac:dyDescent="0.25">
      <c r="A901" s="4">
        <v>895</v>
      </c>
      <c r="B901" s="2" t="str">
        <f>HYPERLINK("https://my.zakupivli.pro/remote/dispatcher/state_purchase_view/56645897", "UA-2025-01-17-006439-a")</f>
        <v>UA-2025-01-17-006439-a</v>
      </c>
      <c r="C901" s="1" t="s">
        <v>1887</v>
      </c>
      <c r="D901" s="1" t="s">
        <v>1206</v>
      </c>
      <c r="E901" s="1" t="s">
        <v>1553</v>
      </c>
      <c r="F901" s="1" t="s">
        <v>87</v>
      </c>
      <c r="G901" s="1" t="s">
        <v>1560</v>
      </c>
      <c r="H901" s="1" t="s">
        <v>108</v>
      </c>
      <c r="I901" s="1" t="s">
        <v>1169</v>
      </c>
      <c r="J901" s="6">
        <v>1144263.72</v>
      </c>
      <c r="K901" s="5">
        <v>45658</v>
      </c>
      <c r="L901" s="7">
        <v>46017</v>
      </c>
    </row>
    <row r="902" spans="1:12" hidden="1" x14ac:dyDescent="0.25">
      <c r="A902" s="4">
        <v>896</v>
      </c>
      <c r="B902" s="2" t="str">
        <f>HYPERLINK("https://my.zakupivli.pro/remote/dispatcher/state_purchase_view/56618329", "UA-2025-01-16-013849-a")</f>
        <v>UA-2025-01-16-013849-a</v>
      </c>
      <c r="C902" s="1" t="s">
        <v>18</v>
      </c>
      <c r="D902" s="1" t="s">
        <v>1005</v>
      </c>
      <c r="E902" s="1" t="s">
        <v>1553</v>
      </c>
      <c r="F902" s="1" t="s">
        <v>87</v>
      </c>
      <c r="G902" s="1" t="s">
        <v>1623</v>
      </c>
      <c r="H902" s="1" t="s">
        <v>579</v>
      </c>
      <c r="I902" s="1" t="s">
        <v>615</v>
      </c>
      <c r="J902" s="6">
        <v>99900</v>
      </c>
      <c r="K902" s="5">
        <v>45673</v>
      </c>
      <c r="L902" s="7">
        <v>46022</v>
      </c>
    </row>
    <row r="903" spans="1:12" hidden="1" x14ac:dyDescent="0.25">
      <c r="A903" s="4">
        <v>897</v>
      </c>
      <c r="B903" s="2" t="str">
        <f>HYPERLINK("https://my.zakupivli.pro/remote/dispatcher/state_purchase_view/56616658", "UA-2025-01-16-013109-a")</f>
        <v>UA-2025-01-16-013109-a</v>
      </c>
      <c r="C903" s="1" t="s">
        <v>28</v>
      </c>
      <c r="D903" s="1" t="s">
        <v>1011</v>
      </c>
      <c r="E903" s="1" t="s">
        <v>1553</v>
      </c>
      <c r="F903" s="1" t="s">
        <v>87</v>
      </c>
      <c r="G903" s="1" t="s">
        <v>1623</v>
      </c>
      <c r="H903" s="1" t="s">
        <v>579</v>
      </c>
      <c r="I903" s="1" t="s">
        <v>1092</v>
      </c>
      <c r="J903" s="6">
        <v>15350</v>
      </c>
      <c r="K903" s="5">
        <v>45673</v>
      </c>
      <c r="L903" s="7">
        <v>46022</v>
      </c>
    </row>
    <row r="904" spans="1:12" hidden="1" x14ac:dyDescent="0.25">
      <c r="A904" s="4">
        <v>898</v>
      </c>
      <c r="B904" s="2" t="str">
        <f>HYPERLINK("https://my.zakupivli.pro/remote/dispatcher/state_purchase_view/56615123", "UA-2025-01-16-012350-a")</f>
        <v>UA-2025-01-16-012350-a</v>
      </c>
      <c r="C904" s="1" t="s">
        <v>35</v>
      </c>
      <c r="D904" s="1" t="s">
        <v>1154</v>
      </c>
      <c r="E904" s="1" t="s">
        <v>1553</v>
      </c>
      <c r="F904" s="1" t="s">
        <v>87</v>
      </c>
      <c r="G904" s="1" t="s">
        <v>1479</v>
      </c>
      <c r="H904" s="1" t="s">
        <v>794</v>
      </c>
      <c r="I904" s="1" t="s">
        <v>94</v>
      </c>
      <c r="J904" s="6">
        <v>23978</v>
      </c>
      <c r="K904" s="5">
        <v>45673</v>
      </c>
      <c r="L904" s="7">
        <v>46022</v>
      </c>
    </row>
    <row r="905" spans="1:12" hidden="1" x14ac:dyDescent="0.25">
      <c r="A905" s="4">
        <v>899</v>
      </c>
      <c r="B905" s="2" t="str">
        <f>HYPERLINK("https://my.zakupivli.pro/remote/dispatcher/state_purchase_view/56613757", "UA-2025-01-16-011867-a")</f>
        <v>UA-2025-01-16-011867-a</v>
      </c>
      <c r="C905" s="1" t="s">
        <v>35</v>
      </c>
      <c r="D905" s="1" t="s">
        <v>1154</v>
      </c>
      <c r="E905" s="1" t="s">
        <v>1553</v>
      </c>
      <c r="F905" s="1" t="s">
        <v>87</v>
      </c>
      <c r="G905" s="1" t="s">
        <v>1479</v>
      </c>
      <c r="H905" s="1" t="s">
        <v>794</v>
      </c>
      <c r="I905" s="1" t="s">
        <v>386</v>
      </c>
      <c r="J905" s="6">
        <v>24965.13</v>
      </c>
      <c r="K905" s="5">
        <v>45673</v>
      </c>
      <c r="L905" s="7">
        <v>45688</v>
      </c>
    </row>
    <row r="906" spans="1:12" hidden="1" x14ac:dyDescent="0.25">
      <c r="A906" s="4">
        <v>900</v>
      </c>
      <c r="B906" s="2" t="str">
        <f>HYPERLINK("https://my.zakupivli.pro/remote/dispatcher/state_purchase_view/56612053", "UA-2025-01-16-011041-a")</f>
        <v>UA-2025-01-16-011041-a</v>
      </c>
      <c r="C906" s="1" t="s">
        <v>1526</v>
      </c>
      <c r="D906" s="1" t="s">
        <v>631</v>
      </c>
      <c r="E906" s="1" t="s">
        <v>1553</v>
      </c>
      <c r="F906" s="1" t="s">
        <v>87</v>
      </c>
      <c r="G906" s="1" t="s">
        <v>1743</v>
      </c>
      <c r="H906" s="1" t="s">
        <v>538</v>
      </c>
      <c r="I906" s="1" t="s">
        <v>878</v>
      </c>
      <c r="J906" s="6">
        <v>19937</v>
      </c>
      <c r="K906" s="5">
        <v>45673</v>
      </c>
      <c r="L906" s="7">
        <v>45688</v>
      </c>
    </row>
    <row r="907" spans="1:12" hidden="1" x14ac:dyDescent="0.25">
      <c r="A907" s="4">
        <v>901</v>
      </c>
      <c r="B907" s="2" t="str">
        <f>HYPERLINK("https://my.zakupivli.pro/remote/dispatcher/state_purchase_view/56610625", "UA-2025-01-16-010450-a")</f>
        <v>UA-2025-01-16-010450-a</v>
      </c>
      <c r="C907" s="1" t="s">
        <v>1793</v>
      </c>
      <c r="D907" s="1" t="s">
        <v>1161</v>
      </c>
      <c r="E907" s="1" t="s">
        <v>1553</v>
      </c>
      <c r="F907" s="1" t="s">
        <v>87</v>
      </c>
      <c r="G907" s="1" t="s">
        <v>2177</v>
      </c>
      <c r="H907" s="1" t="s">
        <v>400</v>
      </c>
      <c r="I907" s="1" t="s">
        <v>252</v>
      </c>
      <c r="J907" s="6">
        <v>3258.99</v>
      </c>
      <c r="K907" s="5">
        <v>45673</v>
      </c>
      <c r="L907" s="7">
        <v>46022</v>
      </c>
    </row>
    <row r="908" spans="1:12" hidden="1" x14ac:dyDescent="0.25">
      <c r="A908" s="4">
        <v>902</v>
      </c>
      <c r="B908" s="2" t="str">
        <f>HYPERLINK("https://my.zakupivli.pro/remote/dispatcher/state_purchase_view/56606163", "UA-2025-01-16-008640-a")</f>
        <v>UA-2025-01-16-008640-a</v>
      </c>
      <c r="C908" s="1" t="s">
        <v>1794</v>
      </c>
      <c r="D908" s="1" t="s">
        <v>1161</v>
      </c>
      <c r="E908" s="1" t="s">
        <v>1553</v>
      </c>
      <c r="F908" s="1" t="s">
        <v>87</v>
      </c>
      <c r="G908" s="1" t="s">
        <v>2177</v>
      </c>
      <c r="H908" s="1" t="s">
        <v>400</v>
      </c>
      <c r="I908" s="1" t="s">
        <v>272</v>
      </c>
      <c r="J908" s="6">
        <v>3180.18</v>
      </c>
      <c r="K908" s="5">
        <v>45673</v>
      </c>
      <c r="L908" s="7">
        <v>46022</v>
      </c>
    </row>
    <row r="909" spans="1:12" hidden="1" x14ac:dyDescent="0.25">
      <c r="A909" s="4">
        <v>903</v>
      </c>
      <c r="B909" s="2" t="str">
        <f>HYPERLINK("https://my.zakupivli.pro/remote/dispatcher/state_purchase_view/56601141", "UA-2025-01-16-006417-a")</f>
        <v>UA-2025-01-16-006417-a</v>
      </c>
      <c r="C909" s="1" t="s">
        <v>1866</v>
      </c>
      <c r="D909" s="1" t="s">
        <v>1256</v>
      </c>
      <c r="E909" s="1" t="s">
        <v>1553</v>
      </c>
      <c r="F909" s="1" t="s">
        <v>87</v>
      </c>
      <c r="G909" s="1" t="s">
        <v>1566</v>
      </c>
      <c r="H909" s="1" t="s">
        <v>557</v>
      </c>
      <c r="I909" s="1" t="s">
        <v>98</v>
      </c>
      <c r="J909" s="6">
        <v>36000</v>
      </c>
      <c r="K909" s="5">
        <v>45673</v>
      </c>
      <c r="L909" s="7">
        <v>46022</v>
      </c>
    </row>
    <row r="910" spans="1:12" hidden="1" x14ac:dyDescent="0.25">
      <c r="A910" s="4">
        <v>904</v>
      </c>
      <c r="B910" s="2" t="str">
        <f>HYPERLINK("https://my.zakupivli.pro/remote/dispatcher/state_purchase_view/56551585", "UA-2025-01-15-003388-a")</f>
        <v>UA-2025-01-15-003388-a</v>
      </c>
      <c r="C910" s="1" t="s">
        <v>1910</v>
      </c>
      <c r="D910" s="1" t="s">
        <v>1152</v>
      </c>
      <c r="E910" s="1" t="s">
        <v>1553</v>
      </c>
      <c r="F910" s="1" t="s">
        <v>87</v>
      </c>
      <c r="G910" s="1" t="s">
        <v>1371</v>
      </c>
      <c r="H910" s="1" t="s">
        <v>60</v>
      </c>
      <c r="I910" s="1" t="s">
        <v>749</v>
      </c>
      <c r="J910" s="6">
        <v>72000</v>
      </c>
      <c r="K910" s="5">
        <v>45672</v>
      </c>
      <c r="L910" s="7">
        <v>46022</v>
      </c>
    </row>
    <row r="911" spans="1:12" hidden="1" x14ac:dyDescent="0.25">
      <c r="A911" s="4">
        <v>905</v>
      </c>
      <c r="B911" s="2" t="str">
        <f>HYPERLINK("https://my.zakupivli.pro/remote/dispatcher/state_purchase_view/56547318", "UA-2025-01-15-001551-a")</f>
        <v>UA-2025-01-15-001551-a</v>
      </c>
      <c r="C911" s="1" t="s">
        <v>1788</v>
      </c>
      <c r="D911" s="1" t="s">
        <v>737</v>
      </c>
      <c r="E911" s="1" t="s">
        <v>1553</v>
      </c>
      <c r="F911" s="1" t="s">
        <v>87</v>
      </c>
      <c r="G911" s="1" t="s">
        <v>2130</v>
      </c>
      <c r="H911" s="1" t="s">
        <v>936</v>
      </c>
      <c r="I911" s="1" t="s">
        <v>1753</v>
      </c>
      <c r="J911" s="6">
        <v>40000</v>
      </c>
      <c r="K911" s="5">
        <v>45672</v>
      </c>
      <c r="L911" s="7">
        <v>46022</v>
      </c>
    </row>
    <row r="912" spans="1:12" hidden="1" x14ac:dyDescent="0.25">
      <c r="A912" s="4">
        <v>906</v>
      </c>
      <c r="B912" s="2" t="str">
        <f>HYPERLINK("https://my.zakupivli.pro/remote/dispatcher/state_purchase_view/56546951", "UA-2025-01-15-001422-a")</f>
        <v>UA-2025-01-15-001422-a</v>
      </c>
      <c r="C912" s="1" t="s">
        <v>2209</v>
      </c>
      <c r="D912" s="1" t="s">
        <v>742</v>
      </c>
      <c r="E912" s="1" t="s">
        <v>1553</v>
      </c>
      <c r="F912" s="1" t="s">
        <v>87</v>
      </c>
      <c r="G912" s="1" t="s">
        <v>2130</v>
      </c>
      <c r="H912" s="1" t="s">
        <v>936</v>
      </c>
      <c r="I912" s="1" t="s">
        <v>1752</v>
      </c>
      <c r="J912" s="6">
        <v>40000</v>
      </c>
      <c r="K912" s="5">
        <v>45672</v>
      </c>
      <c r="L912" s="7">
        <v>46022</v>
      </c>
    </row>
    <row r="913" spans="1:12" hidden="1" x14ac:dyDescent="0.25">
      <c r="A913" s="4">
        <v>907</v>
      </c>
      <c r="B913" s="2" t="str">
        <f>HYPERLINK("https://my.zakupivli.pro/remote/dispatcher/state_purchase_view/56546465", "UA-2025-01-15-001247-a")</f>
        <v>UA-2025-01-15-001247-a</v>
      </c>
      <c r="C913" s="1" t="s">
        <v>1955</v>
      </c>
      <c r="D913" s="1" t="s">
        <v>927</v>
      </c>
      <c r="E913" s="1" t="s">
        <v>1553</v>
      </c>
      <c r="F913" s="1" t="s">
        <v>87</v>
      </c>
      <c r="G913" s="1" t="s">
        <v>2130</v>
      </c>
      <c r="H913" s="1" t="s">
        <v>936</v>
      </c>
      <c r="I913" s="1" t="s">
        <v>1751</v>
      </c>
      <c r="J913" s="6">
        <v>10000</v>
      </c>
      <c r="K913" s="5">
        <v>45672</v>
      </c>
      <c r="L913" s="7">
        <v>46022</v>
      </c>
    </row>
    <row r="914" spans="1:12" hidden="1" x14ac:dyDescent="0.25">
      <c r="A914" s="4">
        <v>908</v>
      </c>
      <c r="B914" s="2" t="str">
        <f>HYPERLINK("https://my.zakupivli.pro/remote/dispatcher/state_purchase_view/56545949", "UA-2025-01-15-001004-a")</f>
        <v>UA-2025-01-15-001004-a</v>
      </c>
      <c r="C914" s="1" t="s">
        <v>29</v>
      </c>
      <c r="D914" s="1" t="s">
        <v>350</v>
      </c>
      <c r="E914" s="1" t="s">
        <v>1553</v>
      </c>
      <c r="F914" s="1" t="s">
        <v>87</v>
      </c>
      <c r="G914" s="1" t="s">
        <v>2130</v>
      </c>
      <c r="H914" s="1" t="s">
        <v>936</v>
      </c>
      <c r="I914" s="1" t="s">
        <v>749</v>
      </c>
      <c r="J914" s="6">
        <v>50000</v>
      </c>
      <c r="K914" s="5">
        <v>45672</v>
      </c>
      <c r="L914" s="7">
        <v>46022</v>
      </c>
    </row>
    <row r="915" spans="1:12" hidden="1" x14ac:dyDescent="0.25">
      <c r="A915" s="4">
        <v>909</v>
      </c>
      <c r="B915" s="2" t="str">
        <f>HYPERLINK("https://my.zakupivli.pro/remote/dispatcher/state_purchase_view/56545461", "UA-2025-01-15-000817-a")</f>
        <v>UA-2025-01-15-000817-a</v>
      </c>
      <c r="C915" s="1" t="s">
        <v>1613</v>
      </c>
      <c r="D915" s="1" t="s">
        <v>893</v>
      </c>
      <c r="E915" s="1" t="s">
        <v>1553</v>
      </c>
      <c r="F915" s="1" t="s">
        <v>87</v>
      </c>
      <c r="G915" s="1" t="s">
        <v>2130</v>
      </c>
      <c r="H915" s="1" t="s">
        <v>936</v>
      </c>
      <c r="I915" s="1" t="s">
        <v>690</v>
      </c>
      <c r="J915" s="6">
        <v>20000</v>
      </c>
      <c r="K915" s="5">
        <v>45672</v>
      </c>
      <c r="L915" s="7">
        <v>46022</v>
      </c>
    </row>
    <row r="916" spans="1:12" hidden="1" x14ac:dyDescent="0.25">
      <c r="A916" s="4">
        <v>910</v>
      </c>
      <c r="B916" s="2" t="str">
        <f>HYPERLINK("https://my.zakupivli.pro/remote/dispatcher/state_purchase_view/56534212", "UA-2025-01-14-012928-a")</f>
        <v>UA-2025-01-14-012928-a</v>
      </c>
      <c r="C916" s="1" t="s">
        <v>1955</v>
      </c>
      <c r="D916" s="1" t="s">
        <v>927</v>
      </c>
      <c r="E916" s="1" t="s">
        <v>1553</v>
      </c>
      <c r="F916" s="1" t="s">
        <v>87</v>
      </c>
      <c r="G916" s="1" t="s">
        <v>1426</v>
      </c>
      <c r="H916" s="1" t="s">
        <v>550</v>
      </c>
      <c r="I916" s="1" t="s">
        <v>690</v>
      </c>
      <c r="J916" s="6">
        <v>69621</v>
      </c>
      <c r="K916" s="5">
        <v>45671</v>
      </c>
      <c r="L916" s="7">
        <v>46022</v>
      </c>
    </row>
    <row r="917" spans="1:12" hidden="1" x14ac:dyDescent="0.25">
      <c r="A917" s="4">
        <v>911</v>
      </c>
      <c r="B917" s="2" t="str">
        <f>HYPERLINK("https://my.zakupivli.pro/remote/dispatcher/state_purchase_view/56532352", "UA-2025-01-14-012133-a")</f>
        <v>UA-2025-01-14-012133-a</v>
      </c>
      <c r="C917" s="1" t="s">
        <v>1999</v>
      </c>
      <c r="D917" s="1" t="s">
        <v>347</v>
      </c>
      <c r="E917" s="1" t="s">
        <v>1553</v>
      </c>
      <c r="F917" s="1" t="s">
        <v>87</v>
      </c>
      <c r="G917" s="1" t="s">
        <v>1759</v>
      </c>
      <c r="H917" s="1" t="s">
        <v>295</v>
      </c>
      <c r="I917" s="1" t="s">
        <v>585</v>
      </c>
      <c r="J917" s="6">
        <v>500</v>
      </c>
      <c r="K917" s="5">
        <v>45671</v>
      </c>
      <c r="L917" s="7">
        <v>46022</v>
      </c>
    </row>
    <row r="918" spans="1:12" hidden="1" x14ac:dyDescent="0.25">
      <c r="A918" s="4">
        <v>912</v>
      </c>
      <c r="B918" s="2" t="str">
        <f>HYPERLINK("https://my.zakupivli.pro/remote/dispatcher/state_purchase_view/56529631", "UA-2025-01-14-010969-a")</f>
        <v>UA-2025-01-14-010969-a</v>
      </c>
      <c r="C918" s="1" t="s">
        <v>1662</v>
      </c>
      <c r="D918" s="1" t="s">
        <v>713</v>
      </c>
      <c r="E918" s="1" t="s">
        <v>1553</v>
      </c>
      <c r="F918" s="1" t="s">
        <v>87</v>
      </c>
      <c r="G918" s="1" t="s">
        <v>2288</v>
      </c>
      <c r="H918" s="1" t="s">
        <v>595</v>
      </c>
      <c r="I918" s="1" t="s">
        <v>91</v>
      </c>
      <c r="J918" s="6">
        <v>31540</v>
      </c>
      <c r="K918" s="5">
        <v>45671</v>
      </c>
      <c r="L918" s="7">
        <v>46022</v>
      </c>
    </row>
    <row r="919" spans="1:12" hidden="1" x14ac:dyDescent="0.25">
      <c r="A919" s="4">
        <v>913</v>
      </c>
      <c r="B919" s="2" t="str">
        <f>HYPERLINK("https://my.zakupivli.pro/remote/dispatcher/state_purchase_view/56527841", "UA-2025-01-14-010193-a")</f>
        <v>UA-2025-01-14-010193-a</v>
      </c>
      <c r="C919" s="1" t="s">
        <v>1664</v>
      </c>
      <c r="D919" s="1" t="s">
        <v>698</v>
      </c>
      <c r="E919" s="1" t="s">
        <v>1553</v>
      </c>
      <c r="F919" s="1" t="s">
        <v>87</v>
      </c>
      <c r="G919" s="1" t="s">
        <v>2172</v>
      </c>
      <c r="H919" s="1" t="s">
        <v>1001</v>
      </c>
      <c r="I919" s="1" t="s">
        <v>67</v>
      </c>
      <c r="J919" s="6">
        <v>98868</v>
      </c>
      <c r="K919" s="5">
        <v>45671</v>
      </c>
      <c r="L919" s="7">
        <v>46022</v>
      </c>
    </row>
    <row r="920" spans="1:12" hidden="1" x14ac:dyDescent="0.25">
      <c r="A920" s="4">
        <v>914</v>
      </c>
      <c r="B920" s="2" t="str">
        <f>HYPERLINK("https://my.zakupivli.pro/remote/dispatcher/state_purchase_view/56526165", "UA-2025-01-14-009486-a")</f>
        <v>UA-2025-01-14-009486-a</v>
      </c>
      <c r="C920" s="1" t="s">
        <v>1638</v>
      </c>
      <c r="D920" s="1" t="s">
        <v>736</v>
      </c>
      <c r="E920" s="1" t="s">
        <v>1553</v>
      </c>
      <c r="F920" s="1" t="s">
        <v>87</v>
      </c>
      <c r="G920" s="1" t="s">
        <v>2036</v>
      </c>
      <c r="H920" s="1" t="s">
        <v>766</v>
      </c>
      <c r="I920" s="1" t="s">
        <v>529</v>
      </c>
      <c r="J920" s="6">
        <v>48487</v>
      </c>
      <c r="K920" s="5">
        <v>45667</v>
      </c>
      <c r="L920" s="7">
        <v>46022</v>
      </c>
    </row>
    <row r="921" spans="1:12" hidden="1" x14ac:dyDescent="0.25">
      <c r="A921" s="4">
        <v>915</v>
      </c>
      <c r="B921" s="2" t="str">
        <f>HYPERLINK("https://my.zakupivli.pro/remote/dispatcher/state_purchase_view/56524045", "UA-2025-01-14-008584-a")</f>
        <v>UA-2025-01-14-008584-a</v>
      </c>
      <c r="C921" s="1" t="s">
        <v>1626</v>
      </c>
      <c r="D921" s="1" t="s">
        <v>1313</v>
      </c>
      <c r="E921" s="1" t="s">
        <v>1553</v>
      </c>
      <c r="F921" s="1" t="s">
        <v>87</v>
      </c>
      <c r="G921" s="1" t="s">
        <v>1557</v>
      </c>
      <c r="H921" s="1" t="s">
        <v>84</v>
      </c>
      <c r="I921" s="1" t="s">
        <v>564</v>
      </c>
      <c r="J921" s="6">
        <v>60000</v>
      </c>
      <c r="K921" s="5">
        <v>45671</v>
      </c>
      <c r="L921" s="7">
        <v>46022</v>
      </c>
    </row>
    <row r="922" spans="1:12" hidden="1" x14ac:dyDescent="0.25">
      <c r="A922" s="4">
        <v>916</v>
      </c>
      <c r="B922" s="2" t="str">
        <f>HYPERLINK("https://my.zakupivli.pro/remote/dispatcher/state_purchase_view/56522340", "UA-2025-01-14-007863-a")</f>
        <v>UA-2025-01-14-007863-a</v>
      </c>
      <c r="C922" s="1" t="s">
        <v>1525</v>
      </c>
      <c r="D922" s="1" t="s">
        <v>1200</v>
      </c>
      <c r="E922" s="1" t="s">
        <v>1553</v>
      </c>
      <c r="F922" s="1" t="s">
        <v>87</v>
      </c>
      <c r="G922" s="1" t="s">
        <v>2168</v>
      </c>
      <c r="H922" s="1" t="s">
        <v>986</v>
      </c>
      <c r="I922" s="1" t="s">
        <v>545</v>
      </c>
      <c r="J922" s="6">
        <v>3432</v>
      </c>
      <c r="K922" s="5">
        <v>45671</v>
      </c>
      <c r="L922" s="7">
        <v>46022</v>
      </c>
    </row>
    <row r="923" spans="1:12" hidden="1" x14ac:dyDescent="0.25">
      <c r="A923" s="4">
        <v>917</v>
      </c>
      <c r="B923" s="2" t="str">
        <f>HYPERLINK("https://my.zakupivli.pro/remote/dispatcher/state_purchase_view/56512858", "UA-2025-01-14-003857-a")</f>
        <v>UA-2025-01-14-003857-a</v>
      </c>
      <c r="C923" s="1" t="s">
        <v>2023</v>
      </c>
      <c r="D923" s="1" t="s">
        <v>1117</v>
      </c>
      <c r="E923" s="1" t="s">
        <v>1553</v>
      </c>
      <c r="F923" s="1" t="s">
        <v>87</v>
      </c>
      <c r="G923" s="1" t="s">
        <v>1743</v>
      </c>
      <c r="H923" s="1" t="s">
        <v>538</v>
      </c>
      <c r="I923" s="1" t="s">
        <v>655</v>
      </c>
      <c r="J923" s="6">
        <v>99220</v>
      </c>
      <c r="K923" s="5">
        <v>45671</v>
      </c>
      <c r="L923" s="7">
        <v>46022</v>
      </c>
    </row>
    <row r="924" spans="1:12" hidden="1" x14ac:dyDescent="0.25">
      <c r="A924" s="4">
        <v>918</v>
      </c>
      <c r="B924" s="2" t="str">
        <f>HYPERLINK("https://my.zakupivli.pro/remote/dispatcher/state_purchase_view/56506156", "UA-2025-01-14-001154-a")</f>
        <v>UA-2025-01-14-001154-a</v>
      </c>
      <c r="C924" s="1" t="s">
        <v>1732</v>
      </c>
      <c r="D924" s="1" t="s">
        <v>596</v>
      </c>
      <c r="E924" s="1" t="s">
        <v>1553</v>
      </c>
      <c r="F924" s="1" t="s">
        <v>87</v>
      </c>
      <c r="G924" s="1" t="s">
        <v>1551</v>
      </c>
      <c r="H924" s="1" t="s">
        <v>536</v>
      </c>
      <c r="I924" s="1" t="s">
        <v>248</v>
      </c>
      <c r="J924" s="6">
        <v>99000</v>
      </c>
      <c r="K924" s="5">
        <v>45671</v>
      </c>
      <c r="L924" s="7">
        <v>46022</v>
      </c>
    </row>
    <row r="925" spans="1:12" hidden="1" x14ac:dyDescent="0.25">
      <c r="A925" s="4">
        <v>919</v>
      </c>
      <c r="B925" s="2" t="str">
        <f>HYPERLINK("https://my.zakupivli.pro/remote/dispatcher/state_purchase_view/56459602", "UA-2025-01-10-008734-a")</f>
        <v>UA-2025-01-10-008734-a</v>
      </c>
      <c r="C925" s="1" t="s">
        <v>1607</v>
      </c>
      <c r="D925" s="1" t="s">
        <v>882</v>
      </c>
      <c r="E925" s="1" t="s">
        <v>1553</v>
      </c>
      <c r="F925" s="1" t="s">
        <v>87</v>
      </c>
      <c r="G925" s="1" t="s">
        <v>1635</v>
      </c>
      <c r="H925" s="1" t="s">
        <v>525</v>
      </c>
      <c r="I925" s="1" t="s">
        <v>117</v>
      </c>
      <c r="J925" s="6">
        <v>26110</v>
      </c>
      <c r="K925" s="5">
        <v>45667</v>
      </c>
      <c r="L925" s="7">
        <v>46022</v>
      </c>
    </row>
    <row r="926" spans="1:12" hidden="1" x14ac:dyDescent="0.25">
      <c r="A926" s="4">
        <v>920</v>
      </c>
      <c r="B926" s="2" t="str">
        <f>HYPERLINK("https://my.zakupivli.pro/remote/dispatcher/state_purchase_view/56458883", "UA-2025-01-10-008363-a")</f>
        <v>UA-2025-01-10-008363-a</v>
      </c>
      <c r="C926" s="1" t="s">
        <v>1786</v>
      </c>
      <c r="D926" s="1" t="s">
        <v>128</v>
      </c>
      <c r="E926" s="1" t="s">
        <v>1553</v>
      </c>
      <c r="F926" s="1" t="s">
        <v>87</v>
      </c>
      <c r="G926" s="1" t="s">
        <v>1764</v>
      </c>
      <c r="H926" s="1" t="s">
        <v>105</v>
      </c>
      <c r="I926" s="1" t="s">
        <v>1286</v>
      </c>
      <c r="J926" s="6">
        <v>14447517.609999999</v>
      </c>
      <c r="K926" s="5">
        <v>45688</v>
      </c>
      <c r="L926" s="7">
        <v>46106</v>
      </c>
    </row>
    <row r="927" spans="1:12" hidden="1" x14ac:dyDescent="0.25">
      <c r="A927" s="4">
        <v>921</v>
      </c>
      <c r="B927" s="2" t="str">
        <f>HYPERLINK("https://my.zakupivli.pro/remote/dispatcher/state_purchase_view/56457196", "UA-2025-01-10-007689-a")</f>
        <v>UA-2025-01-10-007689-a</v>
      </c>
      <c r="C927" s="1" t="s">
        <v>1848</v>
      </c>
      <c r="D927" s="1" t="s">
        <v>1163</v>
      </c>
      <c r="E927" s="1" t="s">
        <v>1553</v>
      </c>
      <c r="F927" s="1" t="s">
        <v>87</v>
      </c>
      <c r="G927" s="1" t="s">
        <v>1635</v>
      </c>
      <c r="H927" s="1" t="s">
        <v>525</v>
      </c>
      <c r="I927" s="1" t="s">
        <v>121</v>
      </c>
      <c r="J927" s="6">
        <v>2360</v>
      </c>
      <c r="K927" s="5">
        <v>45667</v>
      </c>
      <c r="L927" s="7">
        <v>46022</v>
      </c>
    </row>
    <row r="928" spans="1:12" hidden="1" x14ac:dyDescent="0.25">
      <c r="A928" s="4">
        <v>922</v>
      </c>
      <c r="B928" s="2" t="str">
        <f>HYPERLINK("https://my.zakupivli.pro/remote/dispatcher/state_purchase_view/56457005", "UA-2025-01-10-007573-a")</f>
        <v>UA-2025-01-10-007573-a</v>
      </c>
      <c r="C928" s="1" t="s">
        <v>2214</v>
      </c>
      <c r="D928" s="1" t="s">
        <v>1325</v>
      </c>
      <c r="E928" s="1" t="s">
        <v>1553</v>
      </c>
      <c r="F928" s="1" t="s">
        <v>87</v>
      </c>
      <c r="G928" s="1" t="s">
        <v>1763</v>
      </c>
      <c r="H928" s="1" t="s">
        <v>107</v>
      </c>
      <c r="I928" s="1" t="s">
        <v>1353</v>
      </c>
      <c r="J928" s="6">
        <v>300275.98</v>
      </c>
      <c r="K928" s="5">
        <v>45658</v>
      </c>
      <c r="L928" s="7">
        <v>46017</v>
      </c>
    </row>
    <row r="929" spans="1:12" hidden="1" x14ac:dyDescent="0.25">
      <c r="A929" s="4">
        <v>923</v>
      </c>
      <c r="B929" s="2" t="str">
        <f>HYPERLINK("https://my.zakupivli.pro/remote/dispatcher/state_purchase_view/56453333", "UA-2025-01-10-006054-a")</f>
        <v>UA-2025-01-10-006054-a</v>
      </c>
      <c r="C929" s="1" t="s">
        <v>1962</v>
      </c>
      <c r="D929" s="1" t="s">
        <v>478</v>
      </c>
      <c r="E929" s="1" t="s">
        <v>1553</v>
      </c>
      <c r="F929" s="1" t="s">
        <v>87</v>
      </c>
      <c r="G929" s="1" t="s">
        <v>1371</v>
      </c>
      <c r="H929" s="1" t="s">
        <v>60</v>
      </c>
      <c r="I929" s="1" t="s">
        <v>465</v>
      </c>
      <c r="J929" s="6">
        <v>90828.75</v>
      </c>
      <c r="K929" s="5">
        <v>45667</v>
      </c>
      <c r="L929" s="7">
        <v>46022</v>
      </c>
    </row>
    <row r="930" spans="1:12" hidden="1" x14ac:dyDescent="0.25">
      <c r="A930" s="4">
        <v>924</v>
      </c>
      <c r="B930" s="2" t="str">
        <f>HYPERLINK("https://my.zakupivli.pro/remote/dispatcher/state_purchase_view/56443185", "UA-2025-01-10-001747-a")</f>
        <v>UA-2025-01-10-001747-a</v>
      </c>
      <c r="C930" s="1" t="s">
        <v>1538</v>
      </c>
      <c r="D930" s="1" t="s">
        <v>667</v>
      </c>
      <c r="E930" s="1" t="s">
        <v>1553</v>
      </c>
      <c r="F930" s="1" t="s">
        <v>87</v>
      </c>
      <c r="G930" s="1" t="s">
        <v>1743</v>
      </c>
      <c r="H930" s="1" t="s">
        <v>538</v>
      </c>
      <c r="I930" s="1" t="s">
        <v>515</v>
      </c>
      <c r="J930" s="6">
        <v>92200</v>
      </c>
      <c r="K930" s="5">
        <v>45667</v>
      </c>
      <c r="L930" s="7">
        <v>45716</v>
      </c>
    </row>
    <row r="931" spans="1:12" hidden="1" x14ac:dyDescent="0.25">
      <c r="A931" s="4">
        <v>925</v>
      </c>
      <c r="B931" s="2" t="str">
        <f>HYPERLINK("https://my.zakupivli.pro/remote/dispatcher/state_purchase_view/56442673", "UA-2025-01-10-001491-a")</f>
        <v>UA-2025-01-10-001491-a</v>
      </c>
      <c r="C931" s="1" t="s">
        <v>6</v>
      </c>
      <c r="D931" s="1" t="s">
        <v>635</v>
      </c>
      <c r="E931" s="1" t="s">
        <v>1553</v>
      </c>
      <c r="F931" s="1" t="s">
        <v>87</v>
      </c>
      <c r="G931" s="1" t="s">
        <v>1551</v>
      </c>
      <c r="H931" s="1" t="s">
        <v>536</v>
      </c>
      <c r="I931" s="1" t="s">
        <v>498</v>
      </c>
      <c r="J931" s="6">
        <v>15000</v>
      </c>
      <c r="K931" s="5">
        <v>45667</v>
      </c>
      <c r="L931" s="7">
        <v>46022</v>
      </c>
    </row>
    <row r="932" spans="1:12" hidden="1" x14ac:dyDescent="0.25">
      <c r="A932" s="4">
        <v>926</v>
      </c>
      <c r="B932" s="2" t="str">
        <f>HYPERLINK("https://my.zakupivli.pro/remote/dispatcher/state_purchase_view/56435741", "UA-2025-01-09-009414-a")</f>
        <v>UA-2025-01-09-009414-a</v>
      </c>
      <c r="C932" s="1" t="s">
        <v>1853</v>
      </c>
      <c r="D932" s="1" t="s">
        <v>1148</v>
      </c>
      <c r="E932" s="1" t="s">
        <v>1553</v>
      </c>
      <c r="F932" s="1" t="s">
        <v>87</v>
      </c>
      <c r="G932" s="1" t="s">
        <v>1762</v>
      </c>
      <c r="H932" s="1" t="s">
        <v>821</v>
      </c>
      <c r="I932" s="1" t="s">
        <v>469</v>
      </c>
      <c r="J932" s="6">
        <v>58440</v>
      </c>
      <c r="K932" s="5">
        <v>45666</v>
      </c>
      <c r="L932" s="7">
        <v>46022</v>
      </c>
    </row>
    <row r="933" spans="1:12" hidden="1" x14ac:dyDescent="0.25">
      <c r="A933" s="4">
        <v>927</v>
      </c>
      <c r="B933" s="2" t="str">
        <f>HYPERLINK("https://my.zakupivli.pro/remote/dispatcher/state_purchase_view/56435513", "UA-2025-01-09-009274-a")</f>
        <v>UA-2025-01-09-009274-a</v>
      </c>
      <c r="C933" s="1" t="s">
        <v>1450</v>
      </c>
      <c r="D933" s="1" t="s">
        <v>1165</v>
      </c>
      <c r="E933" s="1" t="s">
        <v>1553</v>
      </c>
      <c r="F933" s="1" t="s">
        <v>87</v>
      </c>
      <c r="G933" s="1" t="s">
        <v>1762</v>
      </c>
      <c r="H933" s="1" t="s">
        <v>821</v>
      </c>
      <c r="I933" s="1" t="s">
        <v>66</v>
      </c>
      <c r="J933" s="6">
        <v>91967.27</v>
      </c>
      <c r="K933" s="5">
        <v>45666</v>
      </c>
      <c r="L933" s="7">
        <v>46022</v>
      </c>
    </row>
    <row r="934" spans="1:12" hidden="1" x14ac:dyDescent="0.25">
      <c r="A934" s="4">
        <v>928</v>
      </c>
      <c r="B934" s="2" t="str">
        <f>HYPERLINK("https://my.zakupivli.pro/remote/dispatcher/state_purchase_view/56434719", "UA-2025-01-09-008954-a")</f>
        <v>UA-2025-01-09-008954-a</v>
      </c>
      <c r="C934" s="1" t="s">
        <v>1890</v>
      </c>
      <c r="D934" s="1" t="s">
        <v>1276</v>
      </c>
      <c r="E934" s="1" t="s">
        <v>1553</v>
      </c>
      <c r="F934" s="1" t="s">
        <v>87</v>
      </c>
      <c r="G934" s="1" t="s">
        <v>1762</v>
      </c>
      <c r="H934" s="1" t="s">
        <v>821</v>
      </c>
      <c r="I934" s="1" t="s">
        <v>471</v>
      </c>
      <c r="J934" s="6">
        <v>58440</v>
      </c>
      <c r="K934" s="5">
        <v>45666</v>
      </c>
      <c r="L934" s="7">
        <v>46022</v>
      </c>
    </row>
    <row r="935" spans="1:12" hidden="1" x14ac:dyDescent="0.25">
      <c r="A935" s="4">
        <v>929</v>
      </c>
      <c r="B935" s="2" t="str">
        <f>HYPERLINK("https://my.zakupivli.pro/remote/dispatcher/state_purchase_view/56434582", "UA-2025-01-09-008858-a")</f>
        <v>UA-2025-01-09-008858-a</v>
      </c>
      <c r="C935" s="1" t="s">
        <v>1831</v>
      </c>
      <c r="D935" s="1" t="s">
        <v>1294</v>
      </c>
      <c r="E935" s="1" t="s">
        <v>1553</v>
      </c>
      <c r="F935" s="1" t="s">
        <v>87</v>
      </c>
      <c r="G935" s="1" t="s">
        <v>2166</v>
      </c>
      <c r="H935" s="1" t="s">
        <v>835</v>
      </c>
      <c r="I935" s="1" t="s">
        <v>1804</v>
      </c>
      <c r="J935" s="6">
        <v>37308</v>
      </c>
      <c r="K935" s="5">
        <v>45666</v>
      </c>
      <c r="L935" s="7">
        <v>46022</v>
      </c>
    </row>
    <row r="936" spans="1:12" hidden="1" x14ac:dyDescent="0.25">
      <c r="A936" s="4">
        <v>930</v>
      </c>
      <c r="B936" s="2" t="str">
        <f>HYPERLINK("https://my.zakupivli.pro/remote/dispatcher/state_purchase_view/56433745", "UA-2025-01-09-008537-a")</f>
        <v>UA-2025-01-09-008537-a</v>
      </c>
      <c r="C936" s="1" t="s">
        <v>1735</v>
      </c>
      <c r="D936" s="1" t="s">
        <v>1292</v>
      </c>
      <c r="E936" s="1" t="s">
        <v>1553</v>
      </c>
      <c r="F936" s="1" t="s">
        <v>87</v>
      </c>
      <c r="G936" s="1" t="s">
        <v>1771</v>
      </c>
      <c r="H936" s="1" t="s">
        <v>965</v>
      </c>
      <c r="I936" s="1" t="s">
        <v>417</v>
      </c>
      <c r="J936" s="6">
        <v>10800</v>
      </c>
      <c r="K936" s="5">
        <v>45666</v>
      </c>
      <c r="L936" s="7">
        <v>46022</v>
      </c>
    </row>
    <row r="937" spans="1:12" hidden="1" x14ac:dyDescent="0.25">
      <c r="A937" s="4">
        <v>931</v>
      </c>
      <c r="B937" s="2" t="str">
        <f>HYPERLINK("https://my.zakupivli.pro/remote/dispatcher/state_purchase_view/56433549", "UA-2025-01-09-008403-a")</f>
        <v>UA-2025-01-09-008403-a</v>
      </c>
      <c r="C937" s="1" t="s">
        <v>1735</v>
      </c>
      <c r="D937" s="1" t="s">
        <v>1292</v>
      </c>
      <c r="E937" s="1" t="s">
        <v>1553</v>
      </c>
      <c r="F937" s="1" t="s">
        <v>87</v>
      </c>
      <c r="G937" s="1" t="s">
        <v>1771</v>
      </c>
      <c r="H937" s="1" t="s">
        <v>965</v>
      </c>
      <c r="I937" s="1" t="s">
        <v>392</v>
      </c>
      <c r="J937" s="6">
        <v>4800</v>
      </c>
      <c r="K937" s="5">
        <v>45666</v>
      </c>
      <c r="L937" s="7">
        <v>46022</v>
      </c>
    </row>
    <row r="938" spans="1:12" hidden="1" x14ac:dyDescent="0.25">
      <c r="A938" s="4">
        <v>932</v>
      </c>
      <c r="B938" s="2" t="str">
        <f>HYPERLINK("https://my.zakupivli.pro/remote/dispatcher/state_purchase_view/56432532", "UA-2025-01-09-007972-a")</f>
        <v>UA-2025-01-09-007972-a</v>
      </c>
      <c r="C938" s="1" t="s">
        <v>2256</v>
      </c>
      <c r="D938" s="1" t="s">
        <v>897</v>
      </c>
      <c r="E938" s="1" t="s">
        <v>1553</v>
      </c>
      <c r="F938" s="1" t="s">
        <v>87</v>
      </c>
      <c r="G938" s="1" t="s">
        <v>2018</v>
      </c>
      <c r="H938" s="1" t="s">
        <v>611</v>
      </c>
      <c r="I938" s="1" t="s">
        <v>329</v>
      </c>
      <c r="J938" s="6">
        <v>389</v>
      </c>
      <c r="K938" s="5">
        <v>45666</v>
      </c>
      <c r="L938" s="7">
        <v>46022</v>
      </c>
    </row>
    <row r="939" spans="1:12" hidden="1" x14ac:dyDescent="0.25">
      <c r="A939" s="4">
        <v>933</v>
      </c>
      <c r="B939" s="2" t="str">
        <f>HYPERLINK("https://my.zakupivli.pro/remote/dispatcher/state_purchase_view/56432268", "UA-2025-01-09-007873-a")</f>
        <v>UA-2025-01-09-007873-a</v>
      </c>
      <c r="C939" s="1" t="s">
        <v>1914</v>
      </c>
      <c r="D939" s="1" t="s">
        <v>1266</v>
      </c>
      <c r="E939" s="1" t="s">
        <v>1553</v>
      </c>
      <c r="F939" s="1" t="s">
        <v>87</v>
      </c>
      <c r="G939" s="1" t="s">
        <v>1689</v>
      </c>
      <c r="H939" s="1" t="s">
        <v>398</v>
      </c>
      <c r="I939" s="1" t="s">
        <v>1153</v>
      </c>
      <c r="J939" s="6">
        <v>39600</v>
      </c>
      <c r="K939" s="5">
        <v>45666</v>
      </c>
      <c r="L939" s="7">
        <v>46022</v>
      </c>
    </row>
    <row r="940" spans="1:12" hidden="1" x14ac:dyDescent="0.25">
      <c r="A940" s="4">
        <v>934</v>
      </c>
      <c r="B940" s="2" t="str">
        <f>HYPERLINK("https://my.zakupivli.pro/remote/dispatcher/state_purchase_view/56431878", "UA-2025-01-09-007739-a")</f>
        <v>UA-2025-01-09-007739-a</v>
      </c>
      <c r="C940" s="1" t="s">
        <v>4</v>
      </c>
      <c r="D940" s="1" t="s">
        <v>909</v>
      </c>
      <c r="E940" s="1" t="s">
        <v>1553</v>
      </c>
      <c r="F940" s="1" t="s">
        <v>87</v>
      </c>
      <c r="G940" s="1" t="s">
        <v>2018</v>
      </c>
      <c r="H940" s="1" t="s">
        <v>611</v>
      </c>
      <c r="I940" s="1" t="s">
        <v>304</v>
      </c>
      <c r="J940" s="6">
        <v>10018</v>
      </c>
      <c r="K940" s="5">
        <v>45666</v>
      </c>
      <c r="L940" s="7">
        <v>46022</v>
      </c>
    </row>
    <row r="941" spans="1:12" hidden="1" x14ac:dyDescent="0.25">
      <c r="A941" s="4">
        <v>935</v>
      </c>
      <c r="B941" s="2" t="str">
        <f>HYPERLINK("https://my.zakupivli.pro/remote/dispatcher/state_purchase_view/56431281", "UA-2025-01-09-007470-a")</f>
        <v>UA-2025-01-09-007470-a</v>
      </c>
      <c r="C941" s="1" t="s">
        <v>1782</v>
      </c>
      <c r="D941" s="1" t="s">
        <v>438</v>
      </c>
      <c r="E941" s="1" t="s">
        <v>1553</v>
      </c>
      <c r="F941" s="1" t="s">
        <v>87</v>
      </c>
      <c r="G941" s="1" t="s">
        <v>1551</v>
      </c>
      <c r="H941" s="1" t="s">
        <v>536</v>
      </c>
      <c r="I941" s="1" t="s">
        <v>445</v>
      </c>
      <c r="J941" s="6">
        <v>70000</v>
      </c>
      <c r="K941" s="5">
        <v>45666</v>
      </c>
      <c r="L941" s="7">
        <v>46022</v>
      </c>
    </row>
    <row r="942" spans="1:12" hidden="1" x14ac:dyDescent="0.25">
      <c r="A942" s="4">
        <v>936</v>
      </c>
      <c r="B942" s="2" t="str">
        <f>HYPERLINK("https://my.zakupivli.pro/remote/dispatcher/state_purchase_view/56427764", "UA-2025-01-09-005982-a")</f>
        <v>UA-2025-01-09-005982-a</v>
      </c>
      <c r="C942" s="1" t="s">
        <v>1</v>
      </c>
      <c r="D942" s="1" t="s">
        <v>682</v>
      </c>
      <c r="E942" s="1" t="s">
        <v>1553</v>
      </c>
      <c r="F942" s="1" t="s">
        <v>87</v>
      </c>
      <c r="G942" s="1" t="s">
        <v>1551</v>
      </c>
      <c r="H942" s="1" t="s">
        <v>536</v>
      </c>
      <c r="I942" s="1" t="s">
        <v>288</v>
      </c>
      <c r="J942" s="6">
        <v>90000</v>
      </c>
      <c r="K942" s="5">
        <v>45666</v>
      </c>
      <c r="L942" s="7">
        <v>46022</v>
      </c>
    </row>
    <row r="943" spans="1:12" hidden="1" x14ac:dyDescent="0.25">
      <c r="A943" s="4">
        <v>937</v>
      </c>
      <c r="B943" s="2" t="str">
        <f>HYPERLINK("https://my.zakupivli.pro/remote/dispatcher/state_purchase_view/56427275", "UA-2025-01-09-005779-a")</f>
        <v>UA-2025-01-09-005779-a</v>
      </c>
      <c r="C943" s="1" t="s">
        <v>2284</v>
      </c>
      <c r="D943" s="1" t="s">
        <v>441</v>
      </c>
      <c r="E943" s="1" t="s">
        <v>1553</v>
      </c>
      <c r="F943" s="1" t="s">
        <v>87</v>
      </c>
      <c r="G943" s="1" t="s">
        <v>1551</v>
      </c>
      <c r="H943" s="1" t="s">
        <v>536</v>
      </c>
      <c r="I943" s="1" t="s">
        <v>271</v>
      </c>
      <c r="J943" s="6">
        <v>80000</v>
      </c>
      <c r="K943" s="5">
        <v>45666</v>
      </c>
      <c r="L943" s="7">
        <v>46022</v>
      </c>
    </row>
    <row r="944" spans="1:12" hidden="1" x14ac:dyDescent="0.25">
      <c r="A944" s="4">
        <v>938</v>
      </c>
      <c r="B944" s="2" t="str">
        <f>HYPERLINK("https://my.zakupivli.pro/remote/dispatcher/state_purchase_view/56403301", "UA-2025-01-08-004974-a")</f>
        <v>UA-2025-01-08-004974-a</v>
      </c>
      <c r="C944" s="1" t="s">
        <v>1938</v>
      </c>
      <c r="D944" s="1" t="s">
        <v>599</v>
      </c>
      <c r="E944" s="1" t="s">
        <v>1553</v>
      </c>
      <c r="F944" s="1" t="s">
        <v>87</v>
      </c>
      <c r="G944" s="1" t="s">
        <v>1743</v>
      </c>
      <c r="H944" s="1" t="s">
        <v>538</v>
      </c>
      <c r="I944" s="1" t="s">
        <v>224</v>
      </c>
      <c r="J944" s="6">
        <v>99840</v>
      </c>
      <c r="K944" s="5">
        <v>45665</v>
      </c>
      <c r="L944" s="7">
        <v>45688</v>
      </c>
    </row>
    <row r="945" spans="1:12" hidden="1" x14ac:dyDescent="0.25">
      <c r="A945" s="4">
        <v>939</v>
      </c>
      <c r="B945" s="2" t="str">
        <f>HYPERLINK("https://my.zakupivli.pro/remote/dispatcher/state_purchase_view/56401884", "UA-2025-01-08-004512-a")</f>
        <v>UA-2025-01-08-004512-a</v>
      </c>
      <c r="C945" s="1" t="s">
        <v>4</v>
      </c>
      <c r="D945" s="1" t="s">
        <v>909</v>
      </c>
      <c r="E945" s="1" t="s">
        <v>1553</v>
      </c>
      <c r="F945" s="1" t="s">
        <v>87</v>
      </c>
      <c r="G945" s="1" t="s">
        <v>2018</v>
      </c>
      <c r="H945" s="1" t="s">
        <v>611</v>
      </c>
      <c r="I945" s="1" t="s">
        <v>1187</v>
      </c>
      <c r="J945" s="6">
        <v>4615</v>
      </c>
      <c r="K945" s="5">
        <v>45665</v>
      </c>
      <c r="L945" s="7">
        <v>46022</v>
      </c>
    </row>
    <row r="946" spans="1:12" hidden="1" x14ac:dyDescent="0.25">
      <c r="A946" s="4">
        <v>940</v>
      </c>
      <c r="B946" s="2" t="str">
        <f>HYPERLINK("https://my.zakupivli.pro/remote/dispatcher/state_purchase_view/56401668", "UA-2025-01-08-004367-a")</f>
        <v>UA-2025-01-08-004367-a</v>
      </c>
      <c r="C946" s="1" t="s">
        <v>2198</v>
      </c>
      <c r="D946" s="1" t="s">
        <v>1141</v>
      </c>
      <c r="E946" s="1" t="s">
        <v>1553</v>
      </c>
      <c r="F946" s="1" t="s">
        <v>87</v>
      </c>
      <c r="G946" s="1" t="s">
        <v>2136</v>
      </c>
      <c r="H946" s="1" t="s">
        <v>814</v>
      </c>
      <c r="I946" s="1" t="s">
        <v>204</v>
      </c>
      <c r="J946" s="6">
        <v>90000</v>
      </c>
      <c r="K946" s="5">
        <v>45665</v>
      </c>
      <c r="L946" s="7">
        <v>46022</v>
      </c>
    </row>
    <row r="947" spans="1:12" hidden="1" x14ac:dyDescent="0.25">
      <c r="A947" s="4">
        <v>941</v>
      </c>
      <c r="B947" s="2" t="str">
        <f>HYPERLINK("https://my.zakupivli.pro/remote/dispatcher/state_purchase_view/56400999", "UA-2025-01-08-004125-a")</f>
        <v>UA-2025-01-08-004125-a</v>
      </c>
      <c r="C947" s="1" t="s">
        <v>1943</v>
      </c>
      <c r="D947" s="1" t="s">
        <v>1330</v>
      </c>
      <c r="E947" s="1" t="s">
        <v>1553</v>
      </c>
      <c r="F947" s="1" t="s">
        <v>87</v>
      </c>
      <c r="G947" s="1" t="s">
        <v>2278</v>
      </c>
      <c r="H947" s="1" t="s">
        <v>353</v>
      </c>
      <c r="I947" s="1" t="s">
        <v>929</v>
      </c>
      <c r="J947" s="6">
        <v>27061.68</v>
      </c>
      <c r="K947" s="5">
        <v>45665</v>
      </c>
      <c r="L947" s="7">
        <v>46022</v>
      </c>
    </row>
    <row r="948" spans="1:12" hidden="1" x14ac:dyDescent="0.25">
      <c r="A948" s="4">
        <v>942</v>
      </c>
      <c r="B948" s="2" t="str">
        <f>HYPERLINK("https://my.zakupivli.pro/remote/dispatcher/state_purchase_view/56400517", "UA-2025-01-08-003940-a")</f>
        <v>UA-2025-01-08-003940-a</v>
      </c>
      <c r="C948" s="1" t="s">
        <v>1826</v>
      </c>
      <c r="D948" s="1" t="s">
        <v>1261</v>
      </c>
      <c r="E948" s="1" t="s">
        <v>1553</v>
      </c>
      <c r="F948" s="1" t="s">
        <v>87</v>
      </c>
      <c r="G948" s="1" t="s">
        <v>2164</v>
      </c>
      <c r="H948" s="1" t="s">
        <v>808</v>
      </c>
      <c r="I948" s="1" t="s">
        <v>1757</v>
      </c>
      <c r="J948" s="6">
        <v>462</v>
      </c>
      <c r="K948" s="5">
        <v>45665</v>
      </c>
      <c r="L948" s="7">
        <v>46022</v>
      </c>
    </row>
    <row r="949" spans="1:12" hidden="1" x14ac:dyDescent="0.25">
      <c r="A949" s="4">
        <v>943</v>
      </c>
      <c r="B949" s="2" t="str">
        <f>HYPERLINK("https://my.zakupivli.pro/remote/dispatcher/state_purchase_view/56398034", "UA-2025-01-08-002897-a")</f>
        <v>UA-2025-01-08-002897-a</v>
      </c>
      <c r="C949" s="1" t="s">
        <v>1501</v>
      </c>
      <c r="D949" s="1" t="s">
        <v>480</v>
      </c>
      <c r="E949" s="1" t="s">
        <v>1553</v>
      </c>
      <c r="F949" s="1" t="s">
        <v>87</v>
      </c>
      <c r="G949" s="1" t="s">
        <v>2107</v>
      </c>
      <c r="H949" s="1" t="s">
        <v>764</v>
      </c>
      <c r="I949" s="1" t="s">
        <v>355</v>
      </c>
      <c r="J949" s="6">
        <v>8000</v>
      </c>
      <c r="K949" s="5">
        <v>45665</v>
      </c>
      <c r="L949" s="7">
        <v>46022</v>
      </c>
    </row>
    <row r="950" spans="1:12" hidden="1" x14ac:dyDescent="0.25">
      <c r="A950" s="4">
        <v>944</v>
      </c>
      <c r="B950" s="2" t="str">
        <f>HYPERLINK("https://my.zakupivli.pro/remote/dispatcher/state_purchase_view/56388197", "UA-2025-01-07-007188-a")</f>
        <v>UA-2025-01-07-007188-a</v>
      </c>
      <c r="C950" s="1" t="s">
        <v>1519</v>
      </c>
      <c r="D950" s="1" t="s">
        <v>1057</v>
      </c>
      <c r="E950" s="1" t="s">
        <v>1553</v>
      </c>
      <c r="F950" s="1" t="s">
        <v>87</v>
      </c>
      <c r="G950" s="1" t="s">
        <v>1771</v>
      </c>
      <c r="H950" s="1" t="s">
        <v>965</v>
      </c>
      <c r="I950" s="1" t="s">
        <v>1131</v>
      </c>
      <c r="J950" s="6">
        <v>25295.31</v>
      </c>
      <c r="K950" s="5">
        <v>45664</v>
      </c>
      <c r="L950" s="7">
        <v>46022</v>
      </c>
    </row>
    <row r="951" spans="1:12" hidden="1" x14ac:dyDescent="0.25">
      <c r="A951" s="4">
        <v>945</v>
      </c>
      <c r="B951" s="2" t="str">
        <f>HYPERLINK("https://my.zakupivli.pro/remote/dispatcher/state_purchase_view/56387916", "UA-2025-01-07-007078-a")</f>
        <v>UA-2025-01-07-007078-a</v>
      </c>
      <c r="C951" s="1" t="s">
        <v>1504</v>
      </c>
      <c r="D951" s="1" t="s">
        <v>1207</v>
      </c>
      <c r="E951" s="1" t="s">
        <v>1553</v>
      </c>
      <c r="F951" s="1" t="s">
        <v>87</v>
      </c>
      <c r="G951" s="1" t="s">
        <v>2275</v>
      </c>
      <c r="H951" s="1" t="s">
        <v>578</v>
      </c>
      <c r="I951" s="1" t="s">
        <v>581</v>
      </c>
      <c r="J951" s="6">
        <v>52326.38</v>
      </c>
      <c r="K951" s="5">
        <v>45664</v>
      </c>
      <c r="L951" s="7">
        <v>46022</v>
      </c>
    </row>
    <row r="952" spans="1:12" hidden="1" x14ac:dyDescent="0.25">
      <c r="A952" s="4">
        <v>946</v>
      </c>
      <c r="B952" s="2" t="str">
        <f>HYPERLINK("https://my.zakupivli.pro/remote/dispatcher/state_purchase_view/56387391", "UA-2025-01-07-006818-a")</f>
        <v>UA-2025-01-07-006818-a</v>
      </c>
      <c r="C952" s="1" t="s">
        <v>1928</v>
      </c>
      <c r="D952" s="1" t="s">
        <v>1258</v>
      </c>
      <c r="E952" s="1" t="s">
        <v>1553</v>
      </c>
      <c r="F952" s="1" t="s">
        <v>87</v>
      </c>
      <c r="G952" s="1" t="s">
        <v>2020</v>
      </c>
      <c r="H952" s="1" t="s">
        <v>869</v>
      </c>
      <c r="I952" s="1" t="s">
        <v>54</v>
      </c>
      <c r="J952" s="6">
        <v>54000</v>
      </c>
      <c r="K952" s="5">
        <v>45664</v>
      </c>
      <c r="L952" s="7">
        <v>46022</v>
      </c>
    </row>
    <row r="953" spans="1:12" hidden="1" x14ac:dyDescent="0.25">
      <c r="A953" s="4">
        <v>947</v>
      </c>
      <c r="B953" s="2" t="str">
        <f>HYPERLINK("https://my.zakupivli.pro/remote/dispatcher/state_purchase_view/56386998", "UA-2025-01-07-006625-a")</f>
        <v>UA-2025-01-07-006625-a</v>
      </c>
      <c r="C953" s="1" t="s">
        <v>1928</v>
      </c>
      <c r="D953" s="1" t="s">
        <v>1258</v>
      </c>
      <c r="E953" s="1" t="s">
        <v>1553</v>
      </c>
      <c r="F953" s="1" t="s">
        <v>87</v>
      </c>
      <c r="G953" s="1" t="s">
        <v>2020</v>
      </c>
      <c r="H953" s="1" t="s">
        <v>869</v>
      </c>
      <c r="I953" s="1" t="s">
        <v>55</v>
      </c>
      <c r="J953" s="6">
        <v>17040</v>
      </c>
      <c r="K953" s="5">
        <v>45664</v>
      </c>
      <c r="L953" s="7">
        <v>46022</v>
      </c>
    </row>
    <row r="954" spans="1:12" hidden="1" x14ac:dyDescent="0.25">
      <c r="A954" s="4">
        <v>948</v>
      </c>
      <c r="B954" s="2" t="str">
        <f>HYPERLINK("https://my.zakupivli.pro/remote/dispatcher/state_purchase_view/56386468", "UA-2025-01-07-006433-a")</f>
        <v>UA-2025-01-07-006433-a</v>
      </c>
      <c r="C954" s="1" t="s">
        <v>41</v>
      </c>
      <c r="D954" s="1" t="s">
        <v>1264</v>
      </c>
      <c r="E954" s="1" t="s">
        <v>1553</v>
      </c>
      <c r="F954" s="1" t="s">
        <v>87</v>
      </c>
      <c r="G954" s="1" t="s">
        <v>1432</v>
      </c>
      <c r="H954" s="1" t="s">
        <v>754</v>
      </c>
      <c r="I954" s="1" t="s">
        <v>138</v>
      </c>
      <c r="J954" s="6">
        <v>10000</v>
      </c>
      <c r="K954" s="5">
        <v>45664</v>
      </c>
      <c r="L954" s="7">
        <v>46022</v>
      </c>
    </row>
    <row r="955" spans="1:12" hidden="1" x14ac:dyDescent="0.25">
      <c r="A955" s="4">
        <v>949</v>
      </c>
      <c r="B955" s="2" t="str">
        <f>HYPERLINK("https://my.zakupivli.pro/remote/dispatcher/state_purchase_view/56380990", "UA-2025-01-07-004095-a")</f>
        <v>UA-2025-01-07-004095-a</v>
      </c>
      <c r="C955" s="1" t="s">
        <v>49</v>
      </c>
      <c r="D955" s="1" t="s">
        <v>593</v>
      </c>
      <c r="E955" s="1" t="s">
        <v>1553</v>
      </c>
      <c r="F955" s="1" t="s">
        <v>87</v>
      </c>
      <c r="G955" s="1" t="s">
        <v>1743</v>
      </c>
      <c r="H955" s="1" t="s">
        <v>538</v>
      </c>
      <c r="I955" s="1" t="s">
        <v>191</v>
      </c>
      <c r="J955" s="6">
        <v>52120</v>
      </c>
      <c r="K955" s="5">
        <v>45663</v>
      </c>
      <c r="L955" s="7">
        <v>45688</v>
      </c>
    </row>
    <row r="956" spans="1:12" hidden="1" x14ac:dyDescent="0.25">
      <c r="A956" s="4">
        <v>950</v>
      </c>
      <c r="B956" s="2" t="str">
        <f>HYPERLINK("https://my.zakupivli.pro/remote/dispatcher/state_purchase_view/56380675", "UA-2025-01-07-003950-a")</f>
        <v>UA-2025-01-07-003950-a</v>
      </c>
      <c r="C956" s="1" t="s">
        <v>49</v>
      </c>
      <c r="D956" s="1" t="s">
        <v>593</v>
      </c>
      <c r="E956" s="1" t="s">
        <v>1553</v>
      </c>
      <c r="F956" s="1" t="s">
        <v>87</v>
      </c>
      <c r="G956" s="1" t="s">
        <v>1743</v>
      </c>
      <c r="H956" s="1" t="s">
        <v>538</v>
      </c>
      <c r="I956" s="1" t="s">
        <v>172</v>
      </c>
      <c r="J956" s="6">
        <v>23530</v>
      </c>
      <c r="K956" s="5">
        <v>45663</v>
      </c>
      <c r="L956" s="7">
        <v>45688</v>
      </c>
    </row>
    <row r="957" spans="1:12" hidden="1" x14ac:dyDescent="0.25">
      <c r="A957" s="4">
        <v>951</v>
      </c>
      <c r="B957" s="2" t="str">
        <f>HYPERLINK("https://my.zakupivli.pro/remote/dispatcher/state_purchase_view/56380003", "UA-2025-01-07-003633-a")</f>
        <v>UA-2025-01-07-003633-a</v>
      </c>
      <c r="C957" s="1" t="s">
        <v>1790</v>
      </c>
      <c r="D957" s="1" t="s">
        <v>1326</v>
      </c>
      <c r="E957" s="1" t="s">
        <v>1553</v>
      </c>
      <c r="F957" s="1" t="s">
        <v>87</v>
      </c>
      <c r="G957" s="1" t="s">
        <v>2093</v>
      </c>
      <c r="H957" s="1" t="s">
        <v>848</v>
      </c>
      <c r="I957" s="1" t="s">
        <v>197</v>
      </c>
      <c r="J957" s="6">
        <v>270000</v>
      </c>
      <c r="K957" s="5">
        <v>45723</v>
      </c>
      <c r="L957" s="7">
        <v>45768</v>
      </c>
    </row>
    <row r="958" spans="1:12" hidden="1" x14ac:dyDescent="0.25">
      <c r="A958" s="4">
        <v>952</v>
      </c>
      <c r="B958" s="2" t="str">
        <f>HYPERLINK("https://my.zakupivli.pro/remote/dispatcher/state_purchase_view/56375711", "UA-2025-01-07-001740-a")</f>
        <v>UA-2025-01-07-001740-a</v>
      </c>
      <c r="C958" s="1" t="s">
        <v>2008</v>
      </c>
      <c r="D958" s="1" t="s">
        <v>1052</v>
      </c>
      <c r="E958" s="1" t="s">
        <v>1553</v>
      </c>
      <c r="F958" s="1" t="s">
        <v>87</v>
      </c>
      <c r="G958" s="1" t="s">
        <v>2015</v>
      </c>
      <c r="H958" s="1" t="s">
        <v>505</v>
      </c>
      <c r="I958" s="1" t="s">
        <v>131</v>
      </c>
      <c r="J958" s="6">
        <v>41857</v>
      </c>
      <c r="K958" s="5">
        <v>45664</v>
      </c>
      <c r="L958" s="7">
        <v>45688</v>
      </c>
    </row>
    <row r="959" spans="1:12" hidden="1" x14ac:dyDescent="0.25">
      <c r="A959" s="4">
        <v>953</v>
      </c>
      <c r="B959" s="2" t="str">
        <f>HYPERLINK("https://my.zakupivli.pro/remote/dispatcher/state_purchase_view/56375379", "UA-2025-01-07-001604-a")</f>
        <v>UA-2025-01-07-001604-a</v>
      </c>
      <c r="C959" s="1" t="s">
        <v>33</v>
      </c>
      <c r="D959" s="1" t="s">
        <v>1149</v>
      </c>
      <c r="E959" s="1" t="s">
        <v>1553</v>
      </c>
      <c r="F959" s="1" t="s">
        <v>87</v>
      </c>
      <c r="G959" s="1" t="s">
        <v>2143</v>
      </c>
      <c r="H959" s="1" t="s">
        <v>684</v>
      </c>
      <c r="I959" s="1" t="s">
        <v>523</v>
      </c>
      <c r="J959" s="6">
        <v>3657.24</v>
      </c>
      <c r="K959" s="5">
        <v>45664</v>
      </c>
      <c r="L959" s="7">
        <v>45688</v>
      </c>
    </row>
    <row r="960" spans="1:12" hidden="1" x14ac:dyDescent="0.25">
      <c r="A960" s="4">
        <v>954</v>
      </c>
      <c r="B960" s="2" t="str">
        <f>HYPERLINK("https://my.zakupivli.pro/remote/dispatcher/state_purchase_view/56374727", "UA-2025-01-07-001320-a")</f>
        <v>UA-2025-01-07-001320-a</v>
      </c>
      <c r="C960" s="1" t="s">
        <v>38</v>
      </c>
      <c r="D960" s="1" t="s">
        <v>1253</v>
      </c>
      <c r="E960" s="1" t="s">
        <v>1553</v>
      </c>
      <c r="F960" s="1" t="s">
        <v>87</v>
      </c>
      <c r="G960" s="1" t="s">
        <v>2015</v>
      </c>
      <c r="H960" s="1" t="s">
        <v>505</v>
      </c>
      <c r="I960" s="1" t="s">
        <v>1322</v>
      </c>
      <c r="J960" s="6">
        <v>9800</v>
      </c>
      <c r="K960" s="5">
        <v>45664</v>
      </c>
      <c r="L960" s="7">
        <v>45688</v>
      </c>
    </row>
    <row r="961" spans="1:12" hidden="1" x14ac:dyDescent="0.25">
      <c r="A961" s="4">
        <v>955</v>
      </c>
      <c r="B961" s="2" t="str">
        <f>HYPERLINK("https://my.zakupivli.pro/remote/dispatcher/state_purchase_view/56374482", "UA-2025-01-07-001221-a")</f>
        <v>UA-2025-01-07-001221-a</v>
      </c>
      <c r="C961" s="1" t="s">
        <v>1803</v>
      </c>
      <c r="D961" s="1" t="s">
        <v>1011</v>
      </c>
      <c r="E961" s="1" t="s">
        <v>1553</v>
      </c>
      <c r="F961" s="1" t="s">
        <v>87</v>
      </c>
      <c r="G961" s="1" t="s">
        <v>1741</v>
      </c>
      <c r="H961" s="1" t="s">
        <v>361</v>
      </c>
      <c r="I961" s="1" t="s">
        <v>1298</v>
      </c>
      <c r="J961" s="6">
        <v>84607.64</v>
      </c>
      <c r="K961" s="5">
        <v>45664</v>
      </c>
      <c r="L961" s="7">
        <v>45688</v>
      </c>
    </row>
    <row r="962" spans="1:12" hidden="1" x14ac:dyDescent="0.25">
      <c r="A962" s="4">
        <v>956</v>
      </c>
      <c r="B962" s="2" t="str">
        <f>HYPERLINK("https://my.zakupivli.pro/remote/dispatcher/state_purchase_view/56374145", "UA-2025-01-07-001064-a")</f>
        <v>UA-2025-01-07-001064-a</v>
      </c>
      <c r="C962" s="1" t="s">
        <v>1859</v>
      </c>
      <c r="D962" s="1" t="s">
        <v>1152</v>
      </c>
      <c r="E962" s="1" t="s">
        <v>1553</v>
      </c>
      <c r="F962" s="1" t="s">
        <v>87</v>
      </c>
      <c r="G962" s="1" t="s">
        <v>2145</v>
      </c>
      <c r="H962" s="1" t="s">
        <v>983</v>
      </c>
      <c r="I962" s="1" t="s">
        <v>1237</v>
      </c>
      <c r="J962" s="6">
        <v>2740</v>
      </c>
      <c r="K962" s="5">
        <v>45664</v>
      </c>
      <c r="L962" s="7">
        <v>45688</v>
      </c>
    </row>
    <row r="963" spans="1:12" hidden="1" x14ac:dyDescent="0.25">
      <c r="A963" s="4">
        <v>957</v>
      </c>
      <c r="B963" s="2" t="str">
        <f>HYPERLINK("https://my.zakupivli.pro/remote/dispatcher/state_purchase_view/56373376", "UA-2025-01-07-000761-a")</f>
        <v>UA-2025-01-07-000761-a</v>
      </c>
      <c r="C963" s="1" t="s">
        <v>2193</v>
      </c>
      <c r="D963" s="1" t="s">
        <v>1161</v>
      </c>
      <c r="E963" s="1" t="s">
        <v>1553</v>
      </c>
      <c r="F963" s="1" t="s">
        <v>87</v>
      </c>
      <c r="G963" s="1" t="s">
        <v>2177</v>
      </c>
      <c r="H963" s="1" t="s">
        <v>400</v>
      </c>
      <c r="I963" s="1" t="s">
        <v>1122</v>
      </c>
      <c r="J963" s="6">
        <v>12992.4</v>
      </c>
      <c r="K963" s="5">
        <v>45664</v>
      </c>
      <c r="L963" s="7">
        <v>45688</v>
      </c>
    </row>
    <row r="964" spans="1:12" hidden="1" x14ac:dyDescent="0.25">
      <c r="A964" s="4">
        <v>958</v>
      </c>
      <c r="B964" s="2" t="str">
        <f>HYPERLINK("https://my.zakupivli.pro/remote/dispatcher/state_purchase_view/56305154", "UA-2024-12-31-005113-a")</f>
        <v>UA-2024-12-31-005113-a</v>
      </c>
      <c r="C964" s="1" t="s">
        <v>1865</v>
      </c>
      <c r="D964" s="1" t="s">
        <v>1210</v>
      </c>
      <c r="E964" s="1" t="s">
        <v>1553</v>
      </c>
      <c r="F964" s="1" t="s">
        <v>87</v>
      </c>
      <c r="G964" s="1" t="s">
        <v>1370</v>
      </c>
      <c r="H964" s="1" t="s">
        <v>58</v>
      </c>
      <c r="I964" s="1" t="s">
        <v>427</v>
      </c>
      <c r="J964" s="6">
        <v>3165358.25</v>
      </c>
      <c r="K964" s="5">
        <v>45658</v>
      </c>
      <c r="L964" s="7">
        <v>46107</v>
      </c>
    </row>
    <row r="965" spans="1:12" hidden="1" x14ac:dyDescent="0.25">
      <c r="A965" s="4">
        <v>959</v>
      </c>
      <c r="B965" s="2" t="str">
        <f>HYPERLINK("https://my.zakupivli.pro/remote/dispatcher/state_purchase_view/56300815", "UA-2024-12-31-002971-a")</f>
        <v>UA-2024-12-31-002971-a</v>
      </c>
      <c r="C965" s="1" t="s">
        <v>1647</v>
      </c>
      <c r="D965" s="1" t="s">
        <v>1314</v>
      </c>
      <c r="E965" s="1" t="s">
        <v>1553</v>
      </c>
      <c r="F965" s="1" t="s">
        <v>87</v>
      </c>
      <c r="G965" s="1" t="s">
        <v>2080</v>
      </c>
      <c r="H965" s="1" t="s">
        <v>842</v>
      </c>
      <c r="I965" s="1" t="s">
        <v>1197</v>
      </c>
      <c r="J965" s="6">
        <v>441200</v>
      </c>
      <c r="K965" s="5">
        <v>45680</v>
      </c>
      <c r="L965" s="7">
        <v>46017</v>
      </c>
    </row>
    <row r="966" spans="1:12" hidden="1" x14ac:dyDescent="0.25">
      <c r="A966" s="4">
        <v>960</v>
      </c>
      <c r="B966" s="2" t="str">
        <f>HYPERLINK("https://my.zakupivli.pro/remote/dispatcher/state_purchase_view/56290126", "UA-2024-12-30-010041-a")</f>
        <v>UA-2024-12-30-010041-a</v>
      </c>
      <c r="C966" s="1" t="s">
        <v>46</v>
      </c>
      <c r="D966" s="1" t="s">
        <v>1178</v>
      </c>
      <c r="E966" s="1" t="s">
        <v>1553</v>
      </c>
      <c r="F966" s="1" t="s">
        <v>87</v>
      </c>
      <c r="G966" s="1" t="s">
        <v>2109</v>
      </c>
      <c r="H966" s="1" t="s">
        <v>1080</v>
      </c>
      <c r="I966" s="1" t="s">
        <v>1102</v>
      </c>
      <c r="J966" s="6">
        <v>4140000</v>
      </c>
      <c r="K966" s="5">
        <v>45673</v>
      </c>
      <c r="L966" s="7">
        <v>45958</v>
      </c>
    </row>
    <row r="967" spans="1:12" hidden="1" x14ac:dyDescent="0.25">
      <c r="A967" s="4">
        <v>961</v>
      </c>
      <c r="B967" s="2" t="str">
        <f>HYPERLINK("https://my.zakupivli.pro/remote/dispatcher/state_purchase_view/56283289", "UA-2024-12-30-006943-a")</f>
        <v>UA-2024-12-30-006943-a</v>
      </c>
      <c r="C967" s="1" t="s">
        <v>9</v>
      </c>
      <c r="D967" s="1" t="s">
        <v>347</v>
      </c>
      <c r="E967" s="1" t="s">
        <v>1553</v>
      </c>
      <c r="F967" s="1" t="s">
        <v>87</v>
      </c>
      <c r="G967" s="1" t="s">
        <v>2274</v>
      </c>
      <c r="H967" s="1" t="s">
        <v>351</v>
      </c>
      <c r="I967" s="1" t="s">
        <v>1232</v>
      </c>
      <c r="J967" s="6">
        <v>10756.93</v>
      </c>
      <c r="K967" s="5">
        <v>45651</v>
      </c>
      <c r="L967" s="7">
        <v>45657</v>
      </c>
    </row>
    <row r="968" spans="1:12" hidden="1" x14ac:dyDescent="0.25">
      <c r="A968" s="4">
        <v>962</v>
      </c>
      <c r="B968" s="2" t="str">
        <f>HYPERLINK("https://my.zakupivli.pro/remote/dispatcher/state_purchase_view/56282713", "UA-2024-12-30-006698-a")</f>
        <v>UA-2024-12-30-006698-a</v>
      </c>
      <c r="C968" s="1" t="s">
        <v>43</v>
      </c>
      <c r="D968" s="1" t="s">
        <v>856</v>
      </c>
      <c r="E968" s="1" t="s">
        <v>1553</v>
      </c>
      <c r="F968" s="1" t="s">
        <v>87</v>
      </c>
      <c r="G968" s="1" t="s">
        <v>2274</v>
      </c>
      <c r="H968" s="1" t="s">
        <v>351</v>
      </c>
      <c r="I968" s="1" t="s">
        <v>1234</v>
      </c>
      <c r="J968" s="6">
        <v>45999</v>
      </c>
      <c r="K968" s="5">
        <v>45651</v>
      </c>
      <c r="L968" s="7">
        <v>45657</v>
      </c>
    </row>
    <row r="969" spans="1:12" hidden="1" x14ac:dyDescent="0.25">
      <c r="A969" s="4">
        <v>963</v>
      </c>
      <c r="B969" s="2" t="str">
        <f>HYPERLINK("https://my.zakupivli.pro/remote/dispatcher/state_purchase_view/56282275", "UA-2024-12-30-006434-a")</f>
        <v>UA-2024-12-30-006434-a</v>
      </c>
      <c r="C969" s="1" t="s">
        <v>1640</v>
      </c>
      <c r="D969" s="1" t="s">
        <v>855</v>
      </c>
      <c r="E969" s="1" t="s">
        <v>1553</v>
      </c>
      <c r="F969" s="1" t="s">
        <v>87</v>
      </c>
      <c r="G969" s="1" t="s">
        <v>2274</v>
      </c>
      <c r="H969" s="1" t="s">
        <v>351</v>
      </c>
      <c r="I969" s="1" t="s">
        <v>1233</v>
      </c>
      <c r="J969" s="6">
        <v>70950</v>
      </c>
      <c r="K969" s="5">
        <v>45651</v>
      </c>
      <c r="L969" s="7">
        <v>45657</v>
      </c>
    </row>
    <row r="970" spans="1:12" hidden="1" x14ac:dyDescent="0.25">
      <c r="A970" s="4">
        <v>964</v>
      </c>
      <c r="B970" s="2" t="str">
        <f>HYPERLINK("https://my.zakupivli.pro/remote/dispatcher/state_purchase_view/56280465", "UA-2024-12-30-005555-a")</f>
        <v>UA-2024-12-30-005555-a</v>
      </c>
      <c r="C970" s="1" t="s">
        <v>12</v>
      </c>
      <c r="D970" s="1" t="s">
        <v>645</v>
      </c>
      <c r="E970" s="1" t="s">
        <v>1553</v>
      </c>
      <c r="F970" s="1" t="s">
        <v>87</v>
      </c>
      <c r="G970" s="1" t="s">
        <v>1623</v>
      </c>
      <c r="H970" s="1" t="s">
        <v>579</v>
      </c>
      <c r="I970" s="1" t="s">
        <v>1235</v>
      </c>
      <c r="J970" s="6">
        <v>6914</v>
      </c>
      <c r="K970" s="5">
        <v>45656</v>
      </c>
      <c r="L970" s="7">
        <v>45657</v>
      </c>
    </row>
    <row r="971" spans="1:12" hidden="1" x14ac:dyDescent="0.25">
      <c r="A971" s="4">
        <v>965</v>
      </c>
      <c r="B971" s="2" t="str">
        <f>HYPERLINK("https://my.zakupivli.pro/remote/dispatcher/state_purchase_view/56238816", "UA-2024-12-27-005447-a")</f>
        <v>UA-2024-12-27-005447-a</v>
      </c>
      <c r="C971" s="1" t="s">
        <v>2039</v>
      </c>
      <c r="D971" s="1" t="s">
        <v>1275</v>
      </c>
      <c r="E971" s="1" t="s">
        <v>1553</v>
      </c>
      <c r="F971" s="1" t="s">
        <v>87</v>
      </c>
      <c r="G971" s="1" t="s">
        <v>2073</v>
      </c>
      <c r="H971" s="1" t="s">
        <v>781</v>
      </c>
      <c r="I971" s="1" t="s">
        <v>1193</v>
      </c>
      <c r="J971" s="6">
        <v>1679848</v>
      </c>
      <c r="K971" s="5">
        <v>45680</v>
      </c>
      <c r="L971" s="7">
        <v>46093</v>
      </c>
    </row>
    <row r="972" spans="1:12" hidden="1" x14ac:dyDescent="0.25">
      <c r="A972" s="4">
        <v>966</v>
      </c>
      <c r="B972" s="2" t="str">
        <f>HYPERLINK("https://my.zakupivli.pro/remote/dispatcher/state_purchase_view/56196564", "UA-2024-12-26-003533-a")</f>
        <v>UA-2024-12-26-003533-a</v>
      </c>
      <c r="C972" s="1" t="s">
        <v>1669</v>
      </c>
      <c r="D972" s="1" t="s">
        <v>673</v>
      </c>
      <c r="E972" s="1" t="s">
        <v>1553</v>
      </c>
      <c r="F972" s="1" t="s">
        <v>87</v>
      </c>
      <c r="G972" s="1" t="s">
        <v>1551</v>
      </c>
      <c r="H972" s="1" t="s">
        <v>536</v>
      </c>
      <c r="I972" s="1" t="s">
        <v>1231</v>
      </c>
      <c r="J972" s="6">
        <v>2235</v>
      </c>
      <c r="K972" s="5">
        <v>45650</v>
      </c>
      <c r="L972" s="7">
        <v>45657</v>
      </c>
    </row>
    <row r="973" spans="1:12" hidden="1" x14ac:dyDescent="0.25">
      <c r="A973" s="4">
        <v>967</v>
      </c>
      <c r="B973" s="2" t="str">
        <f>HYPERLINK("https://my.zakupivli.pro/remote/dispatcher/state_purchase_view/56195997", "UA-2024-12-26-003282-a")</f>
        <v>UA-2024-12-26-003282-a</v>
      </c>
      <c r="C973" s="1" t="s">
        <v>1914</v>
      </c>
      <c r="D973" s="1" t="s">
        <v>1266</v>
      </c>
      <c r="E973" s="1" t="s">
        <v>1553</v>
      </c>
      <c r="F973" s="1" t="s">
        <v>87</v>
      </c>
      <c r="G973" s="1" t="s">
        <v>1768</v>
      </c>
      <c r="H973" s="1" t="s">
        <v>238</v>
      </c>
      <c r="I973" s="1" t="s">
        <v>577</v>
      </c>
      <c r="J973" s="6">
        <v>27540</v>
      </c>
      <c r="K973" s="5">
        <v>45650</v>
      </c>
      <c r="L973" s="7">
        <v>46022</v>
      </c>
    </row>
    <row r="974" spans="1:12" hidden="1" x14ac:dyDescent="0.25">
      <c r="A974" s="4">
        <v>968</v>
      </c>
      <c r="B974" s="2" t="str">
        <f>HYPERLINK("https://my.zakupivli.pro/remote/dispatcher/state_purchase_view/56193147", "UA-2024-12-26-001923-a")</f>
        <v>UA-2024-12-26-001923-a</v>
      </c>
      <c r="C974" s="1" t="s">
        <v>1951</v>
      </c>
      <c r="D974" s="1" t="s">
        <v>1115</v>
      </c>
      <c r="E974" s="1" t="s">
        <v>1553</v>
      </c>
      <c r="F974" s="1" t="s">
        <v>87</v>
      </c>
      <c r="G974" s="1" t="s">
        <v>2161</v>
      </c>
      <c r="H974" s="1" t="s">
        <v>1051</v>
      </c>
      <c r="I974" s="1" t="s">
        <v>338</v>
      </c>
      <c r="J974" s="6">
        <v>35424</v>
      </c>
      <c r="K974" s="5">
        <v>45649</v>
      </c>
      <c r="L974" s="7">
        <v>45657</v>
      </c>
    </row>
    <row r="975" spans="1:12" hidden="1" x14ac:dyDescent="0.25">
      <c r="A975" s="4">
        <v>969</v>
      </c>
      <c r="B975" s="2" t="str">
        <f>HYPERLINK("https://my.zakupivli.pro/remote/dispatcher/state_purchase_view/56177436", "UA-2024-12-25-009811-a")</f>
        <v>UA-2024-12-25-009811-a</v>
      </c>
      <c r="C975" s="1" t="s">
        <v>1507</v>
      </c>
      <c r="D975" s="1" t="s">
        <v>127</v>
      </c>
      <c r="E975" s="1" t="s">
        <v>1553</v>
      </c>
      <c r="F975" s="1" t="s">
        <v>87</v>
      </c>
      <c r="G975" s="1" t="s">
        <v>2120</v>
      </c>
      <c r="H975" s="1" t="s">
        <v>985</v>
      </c>
      <c r="I975" s="1" t="s">
        <v>129</v>
      </c>
      <c r="J975" s="6">
        <v>11994550.140000001</v>
      </c>
      <c r="K975" s="5">
        <v>45658</v>
      </c>
      <c r="L975" s="7">
        <v>46107</v>
      </c>
    </row>
    <row r="976" spans="1:12" hidden="1" x14ac:dyDescent="0.25">
      <c r="A976" s="4">
        <v>970</v>
      </c>
      <c r="B976" s="2" t="str">
        <f>HYPERLINK("https://my.zakupivli.pro/remote/dispatcher/state_purchase_view/56148543", "UA-2024-12-24-017192-a")</f>
        <v>UA-2024-12-24-017192-a</v>
      </c>
      <c r="C976" s="1" t="s">
        <v>2044</v>
      </c>
      <c r="D976" s="1" t="s">
        <v>1178</v>
      </c>
      <c r="E976" s="1" t="s">
        <v>1553</v>
      </c>
      <c r="F976" s="1" t="s">
        <v>87</v>
      </c>
      <c r="G976" s="1" t="s">
        <v>2109</v>
      </c>
      <c r="H976" s="1" t="s">
        <v>1080</v>
      </c>
      <c r="I976" s="1" t="s">
        <v>356</v>
      </c>
      <c r="J976" s="6">
        <v>5500200</v>
      </c>
      <c r="K976" s="5">
        <v>45666</v>
      </c>
      <c r="L976" s="7">
        <v>45909</v>
      </c>
    </row>
    <row r="977" spans="1:12" hidden="1" x14ac:dyDescent="0.25">
      <c r="A977" s="4">
        <v>971</v>
      </c>
      <c r="B977" s="2" t="str">
        <f>HYPERLINK("https://my.zakupivli.pro/remote/dispatcher/state_purchase_view/56034655", "UA-2024-12-20-017437-a")</f>
        <v>UA-2024-12-20-017437-a</v>
      </c>
      <c r="C977" s="1" t="s">
        <v>1491</v>
      </c>
      <c r="D977" s="1" t="s">
        <v>1116</v>
      </c>
      <c r="E977" s="1" t="s">
        <v>1553</v>
      </c>
      <c r="F977" s="1" t="s">
        <v>87</v>
      </c>
      <c r="G977" s="1" t="s">
        <v>2174</v>
      </c>
      <c r="H977" s="1" t="s">
        <v>1037</v>
      </c>
      <c r="I977" s="1" t="s">
        <v>365</v>
      </c>
      <c r="J977" s="6">
        <v>1336320</v>
      </c>
      <c r="K977" s="5">
        <v>45658</v>
      </c>
      <c r="L977" s="7">
        <v>46017</v>
      </c>
    </row>
    <row r="978" spans="1:12" hidden="1" x14ac:dyDescent="0.25">
      <c r="A978" s="4">
        <v>972</v>
      </c>
      <c r="B978" s="2" t="str">
        <f>HYPERLINK("https://my.zakupivli.pro/remote/dispatcher/state_purchase_view/55936412", "UA-2024-12-18-023661-a")</f>
        <v>UA-2024-12-18-023661-a</v>
      </c>
      <c r="C978" s="1" t="s">
        <v>10</v>
      </c>
      <c r="D978" s="1" t="s">
        <v>1116</v>
      </c>
      <c r="E978" s="1" t="s">
        <v>1553</v>
      </c>
      <c r="F978" s="1" t="s">
        <v>87</v>
      </c>
      <c r="G978" s="1" t="s">
        <v>2174</v>
      </c>
      <c r="H978" s="1" t="s">
        <v>1037</v>
      </c>
      <c r="I978" s="1" t="s">
        <v>365</v>
      </c>
      <c r="J978" s="6">
        <v>1336320</v>
      </c>
      <c r="K978" s="5">
        <v>45658</v>
      </c>
      <c r="L978" s="7">
        <v>46017</v>
      </c>
    </row>
    <row r="979" spans="1:12" hidden="1" x14ac:dyDescent="0.25">
      <c r="A979" s="4">
        <v>973</v>
      </c>
      <c r="B979" s="2" t="str">
        <f>HYPERLINK("https://my.zakupivli.pro/remote/dispatcher/state_purchase_view/55934705", "UA-2024-12-18-022947-a")</f>
        <v>UA-2024-12-18-022947-a</v>
      </c>
      <c r="C979" s="1" t="s">
        <v>1600</v>
      </c>
      <c r="D979" s="1" t="s">
        <v>1260</v>
      </c>
      <c r="E979" s="1" t="s">
        <v>1553</v>
      </c>
      <c r="F979" s="1" t="s">
        <v>87</v>
      </c>
      <c r="G979" s="1" t="s">
        <v>2174</v>
      </c>
      <c r="H979" s="1" t="s">
        <v>1037</v>
      </c>
      <c r="I979" s="1" t="s">
        <v>368</v>
      </c>
      <c r="J979" s="6">
        <v>169980</v>
      </c>
      <c r="K979" s="5">
        <v>45664</v>
      </c>
      <c r="L979" s="7">
        <v>46017</v>
      </c>
    </row>
    <row r="980" spans="1:12" hidden="1" x14ac:dyDescent="0.25">
      <c r="A980" s="4">
        <v>974</v>
      </c>
      <c r="B980" s="2" t="str">
        <f>HYPERLINK("https://my.zakupivli.pro/remote/dispatcher/state_purchase_view/55897185", "UA-2024-12-18-006256-a")</f>
        <v>UA-2024-12-18-006256-a</v>
      </c>
      <c r="C980" s="1" t="s">
        <v>1829</v>
      </c>
      <c r="D980" s="1" t="s">
        <v>1295</v>
      </c>
      <c r="E980" s="1" t="s">
        <v>1553</v>
      </c>
      <c r="F980" s="1" t="s">
        <v>87</v>
      </c>
      <c r="G980" s="1" t="s">
        <v>1373</v>
      </c>
      <c r="H980" s="1" t="s">
        <v>409</v>
      </c>
      <c r="I980" s="1" t="s">
        <v>1230</v>
      </c>
      <c r="J980" s="6">
        <v>11870</v>
      </c>
      <c r="K980" s="5">
        <v>45644</v>
      </c>
      <c r="L980" s="7">
        <v>45657</v>
      </c>
    </row>
    <row r="981" spans="1:12" hidden="1" x14ac:dyDescent="0.25">
      <c r="A981" s="4">
        <v>975</v>
      </c>
      <c r="B981" s="2" t="str">
        <f>HYPERLINK("https://my.zakupivli.pro/remote/dispatcher/state_purchase_view/55834756", "UA-2024-12-17-004061-a")</f>
        <v>UA-2024-12-17-004061-a</v>
      </c>
      <c r="C981" s="1" t="s">
        <v>1870</v>
      </c>
      <c r="D981" s="1" t="s">
        <v>1151</v>
      </c>
      <c r="E981" s="1" t="s">
        <v>1553</v>
      </c>
      <c r="F981" s="1" t="s">
        <v>87</v>
      </c>
      <c r="G981" s="1" t="s">
        <v>2106</v>
      </c>
      <c r="H981" s="1" t="s">
        <v>461</v>
      </c>
      <c r="I981" s="1" t="s">
        <v>1228</v>
      </c>
      <c r="J981" s="6">
        <v>1615.2</v>
      </c>
      <c r="K981" s="5">
        <v>45642</v>
      </c>
      <c r="L981" s="7">
        <v>45657</v>
      </c>
    </row>
    <row r="982" spans="1:12" hidden="1" x14ac:dyDescent="0.25">
      <c r="A982" s="4">
        <v>976</v>
      </c>
      <c r="B982" s="2" t="str">
        <f>HYPERLINK("https://my.zakupivli.pro/remote/dispatcher/state_purchase_view/55734217", "UA-2024-12-13-006766-a")</f>
        <v>UA-2024-12-13-006766-a</v>
      </c>
      <c r="C982" s="1" t="s">
        <v>2037</v>
      </c>
      <c r="D982" s="1" t="s">
        <v>313</v>
      </c>
      <c r="E982" s="1" t="s">
        <v>1553</v>
      </c>
      <c r="F982" s="1" t="s">
        <v>87</v>
      </c>
      <c r="G982" s="1" t="s">
        <v>2111</v>
      </c>
      <c r="H982" s="1" t="s">
        <v>460</v>
      </c>
      <c r="I982" s="1" t="s">
        <v>1220</v>
      </c>
      <c r="J982" s="6">
        <v>1000</v>
      </c>
      <c r="K982" s="5">
        <v>45639</v>
      </c>
      <c r="L982" s="7">
        <v>45657</v>
      </c>
    </row>
    <row r="983" spans="1:12" hidden="1" x14ac:dyDescent="0.25">
      <c r="A983" s="4">
        <v>977</v>
      </c>
      <c r="B983" s="2" t="str">
        <f>HYPERLINK("https://my.zakupivli.pro/remote/dispatcher/state_purchase_view/55732084", "UA-2024-12-13-005863-a")</f>
        <v>UA-2024-12-13-005863-a</v>
      </c>
      <c r="C983" s="1" t="s">
        <v>1719</v>
      </c>
      <c r="D983" s="1" t="s">
        <v>903</v>
      </c>
      <c r="E983" s="1" t="s">
        <v>1553</v>
      </c>
      <c r="F983" s="1" t="s">
        <v>87</v>
      </c>
      <c r="G983" s="1" t="s">
        <v>1688</v>
      </c>
      <c r="H983" s="1" t="s">
        <v>662</v>
      </c>
      <c r="I983" s="1" t="s">
        <v>1348</v>
      </c>
      <c r="J983" s="6">
        <v>6048</v>
      </c>
      <c r="K983" s="5">
        <v>45639</v>
      </c>
      <c r="L983" s="7">
        <v>45657</v>
      </c>
    </row>
    <row r="984" spans="1:12" hidden="1" x14ac:dyDescent="0.25">
      <c r="A984" s="4">
        <v>978</v>
      </c>
      <c r="B984" s="2" t="str">
        <f>HYPERLINK("https://my.zakupivli.pro/remote/dispatcher/state_purchase_view/55730428", "UA-2024-12-13-005138-a")</f>
        <v>UA-2024-12-13-005138-a</v>
      </c>
      <c r="C984" s="1" t="s">
        <v>1954</v>
      </c>
      <c r="D984" s="1" t="s">
        <v>268</v>
      </c>
      <c r="E984" s="1" t="s">
        <v>1553</v>
      </c>
      <c r="F984" s="1" t="s">
        <v>87</v>
      </c>
      <c r="G984" s="1" t="s">
        <v>2128</v>
      </c>
      <c r="H984" s="1" t="s">
        <v>633</v>
      </c>
      <c r="I984" s="1" t="s">
        <v>1222</v>
      </c>
      <c r="J984" s="6">
        <v>232.06</v>
      </c>
      <c r="K984" s="5">
        <v>45639</v>
      </c>
      <c r="L984" s="7">
        <v>45657</v>
      </c>
    </row>
    <row r="985" spans="1:12" hidden="1" x14ac:dyDescent="0.25">
      <c r="A985" s="4">
        <v>979</v>
      </c>
      <c r="B985" s="2" t="str">
        <f>HYPERLINK("https://my.zakupivli.pro/remote/dispatcher/state_purchase_view/55729117", "UA-2024-12-13-004609-a")</f>
        <v>UA-2024-12-13-004609-a</v>
      </c>
      <c r="C985" s="1" t="s">
        <v>2005</v>
      </c>
      <c r="D985" s="1" t="s">
        <v>669</v>
      </c>
      <c r="E985" s="1" t="s">
        <v>1553</v>
      </c>
      <c r="F985" s="1" t="s">
        <v>87</v>
      </c>
      <c r="G985" s="1" t="s">
        <v>2274</v>
      </c>
      <c r="H985" s="1" t="s">
        <v>351</v>
      </c>
      <c r="I985" s="1" t="s">
        <v>1221</v>
      </c>
      <c r="J985" s="6">
        <v>5400</v>
      </c>
      <c r="K985" s="5">
        <v>45639</v>
      </c>
      <c r="L985" s="7">
        <v>45657</v>
      </c>
    </row>
    <row r="986" spans="1:12" hidden="1" x14ac:dyDescent="0.25">
      <c r="A986" s="4">
        <v>980</v>
      </c>
      <c r="B986" s="2" t="str">
        <f>HYPERLINK("https://my.zakupivli.pro/remote/dispatcher/state_purchase_view/55643491", "UA-2024-12-11-012747-a")</f>
        <v>UA-2024-12-11-012747-a</v>
      </c>
      <c r="C986" s="1" t="s">
        <v>1361</v>
      </c>
      <c r="D986" s="1" t="s">
        <v>1265</v>
      </c>
      <c r="E986" s="1" t="s">
        <v>1553</v>
      </c>
      <c r="F986" s="1" t="s">
        <v>87</v>
      </c>
      <c r="G986" s="1" t="s">
        <v>1768</v>
      </c>
      <c r="H986" s="1" t="s">
        <v>238</v>
      </c>
      <c r="I986" s="1" t="s">
        <v>577</v>
      </c>
      <c r="J986" s="6">
        <v>1116</v>
      </c>
      <c r="K986" s="5">
        <v>45632</v>
      </c>
      <c r="L986" s="7">
        <v>45657</v>
      </c>
    </row>
    <row r="987" spans="1:12" hidden="1" x14ac:dyDescent="0.25">
      <c r="A987" s="4">
        <v>981</v>
      </c>
      <c r="B987" s="2" t="str">
        <f>HYPERLINK("https://my.zakupivli.pro/remote/dispatcher/state_purchase_view/55622300", "UA-2024-12-11-003312-a")</f>
        <v>UA-2024-12-11-003312-a</v>
      </c>
      <c r="C987" s="1" t="s">
        <v>1504</v>
      </c>
      <c r="D987" s="1" t="s">
        <v>1207</v>
      </c>
      <c r="E987" s="1" t="s">
        <v>1553</v>
      </c>
      <c r="F987" s="1" t="s">
        <v>87</v>
      </c>
      <c r="G987" s="1" t="s">
        <v>2275</v>
      </c>
      <c r="H987" s="1" t="s">
        <v>578</v>
      </c>
      <c r="I987" s="1" t="s">
        <v>1172</v>
      </c>
      <c r="J987" s="6">
        <v>42090.239999999998</v>
      </c>
      <c r="K987" s="5">
        <v>45637</v>
      </c>
      <c r="L987" s="7">
        <v>45657</v>
      </c>
    </row>
    <row r="988" spans="1:12" hidden="1" x14ac:dyDescent="0.25">
      <c r="A988" s="4">
        <v>982</v>
      </c>
      <c r="B988" s="2" t="str">
        <f>HYPERLINK("https://my.zakupivli.pro/remote/dispatcher/state_purchase_view/55620556", "UA-2024-12-11-002640-a")</f>
        <v>UA-2024-12-11-002640-a</v>
      </c>
      <c r="C988" s="1" t="s">
        <v>1597</v>
      </c>
      <c r="D988" s="1" t="s">
        <v>1007</v>
      </c>
      <c r="E988" s="1" t="s">
        <v>1553</v>
      </c>
      <c r="F988" s="1" t="s">
        <v>87</v>
      </c>
      <c r="G988" s="1" t="s">
        <v>2275</v>
      </c>
      <c r="H988" s="1" t="s">
        <v>578</v>
      </c>
      <c r="I988" s="1" t="s">
        <v>1213</v>
      </c>
      <c r="J988" s="6">
        <v>16881.259999999998</v>
      </c>
      <c r="K988" s="5">
        <v>45636</v>
      </c>
      <c r="L988" s="7">
        <v>45657</v>
      </c>
    </row>
    <row r="989" spans="1:12" hidden="1" x14ac:dyDescent="0.25">
      <c r="A989" s="4">
        <v>983</v>
      </c>
      <c r="B989" s="2" t="str">
        <f>HYPERLINK("https://my.zakupivli.pro/remote/dispatcher/state_purchase_view/55620049", "UA-2024-12-11-002331-a")</f>
        <v>UA-2024-12-11-002331-a</v>
      </c>
      <c r="C989" s="1" t="s">
        <v>1721</v>
      </c>
      <c r="D989" s="1" t="s">
        <v>1257</v>
      </c>
      <c r="E989" s="1" t="s">
        <v>1553</v>
      </c>
      <c r="F989" s="1" t="s">
        <v>87</v>
      </c>
      <c r="G989" s="1" t="s">
        <v>2020</v>
      </c>
      <c r="H989" s="1" t="s">
        <v>869</v>
      </c>
      <c r="I989" s="1" t="s">
        <v>97</v>
      </c>
      <c r="J989" s="6">
        <v>19800</v>
      </c>
      <c r="K989" s="5">
        <v>45637</v>
      </c>
      <c r="L989" s="7">
        <v>45657</v>
      </c>
    </row>
    <row r="990" spans="1:12" hidden="1" x14ac:dyDescent="0.25">
      <c r="A990" s="4">
        <v>984</v>
      </c>
      <c r="B990" s="2" t="str">
        <f>HYPERLINK("https://my.zakupivli.pro/remote/dispatcher/state_purchase_view/55618889", "UA-2024-12-11-001877-a")</f>
        <v>UA-2024-12-11-001877-a</v>
      </c>
      <c r="C990" s="1" t="s">
        <v>1724</v>
      </c>
      <c r="D990" s="1" t="s">
        <v>1257</v>
      </c>
      <c r="E990" s="1" t="s">
        <v>1553</v>
      </c>
      <c r="F990" s="1" t="s">
        <v>87</v>
      </c>
      <c r="G990" s="1" t="s">
        <v>1621</v>
      </c>
      <c r="H990" s="1" t="s">
        <v>492</v>
      </c>
      <c r="I990" s="1" t="s">
        <v>566</v>
      </c>
      <c r="J990" s="6">
        <v>18870</v>
      </c>
      <c r="K990" s="5">
        <v>45637</v>
      </c>
      <c r="L990" s="7">
        <v>45657</v>
      </c>
    </row>
    <row r="991" spans="1:12" hidden="1" x14ac:dyDescent="0.25">
      <c r="A991" s="4">
        <v>985</v>
      </c>
      <c r="B991" s="2" t="str">
        <f>HYPERLINK("https://my.zakupivli.pro/remote/dispatcher/state_purchase_view/55617780", "UA-2024-12-11-001345-a")</f>
        <v>UA-2024-12-11-001345-a</v>
      </c>
      <c r="C991" s="1" t="s">
        <v>45</v>
      </c>
      <c r="D991" s="1" t="s">
        <v>1189</v>
      </c>
      <c r="E991" s="1" t="s">
        <v>1553</v>
      </c>
      <c r="F991" s="1" t="s">
        <v>87</v>
      </c>
      <c r="G991" s="1" t="s">
        <v>1763</v>
      </c>
      <c r="H991" s="1" t="s">
        <v>107</v>
      </c>
      <c r="I991" s="1" t="s">
        <v>1351</v>
      </c>
      <c r="J991" s="6">
        <v>22426</v>
      </c>
      <c r="K991" s="5">
        <v>45637</v>
      </c>
      <c r="L991" s="7">
        <v>45657</v>
      </c>
    </row>
    <row r="992" spans="1:12" hidden="1" x14ac:dyDescent="0.25">
      <c r="A992" s="4">
        <v>986</v>
      </c>
      <c r="B992" s="2" t="str">
        <f>HYPERLINK("https://my.zakupivli.pro/remote/dispatcher/state_purchase_view/55592837", "UA-2024-12-10-012596-a")</f>
        <v>UA-2024-12-10-012596-a</v>
      </c>
      <c r="C992" s="1" t="s">
        <v>1453</v>
      </c>
      <c r="D992" s="1" t="s">
        <v>706</v>
      </c>
      <c r="E992" s="1" t="s">
        <v>1553</v>
      </c>
      <c r="F992" s="1" t="s">
        <v>87</v>
      </c>
      <c r="G992" s="1" t="s">
        <v>2171</v>
      </c>
      <c r="H992" s="1" t="s">
        <v>1031</v>
      </c>
      <c r="I992" s="1" t="s">
        <v>1203</v>
      </c>
      <c r="J992" s="6">
        <v>46000</v>
      </c>
      <c r="K992" s="5">
        <v>45636</v>
      </c>
      <c r="L992" s="7">
        <v>45656</v>
      </c>
    </row>
    <row r="993" spans="1:12" hidden="1" x14ac:dyDescent="0.25">
      <c r="A993" s="4">
        <v>987</v>
      </c>
      <c r="B993" s="2" t="str">
        <f>HYPERLINK("https://my.zakupivli.pro/remote/dispatcher/state_purchase_view/55429365", "UA-2024-12-05-004825-a")</f>
        <v>UA-2024-12-05-004825-a</v>
      </c>
      <c r="C993" s="1" t="s">
        <v>1663</v>
      </c>
      <c r="D993" s="1" t="s">
        <v>478</v>
      </c>
      <c r="E993" s="1" t="s">
        <v>1553</v>
      </c>
      <c r="F993" s="1" t="s">
        <v>87</v>
      </c>
      <c r="G993" s="1" t="s">
        <v>1371</v>
      </c>
      <c r="H993" s="1" t="s">
        <v>60</v>
      </c>
      <c r="I993" s="1" t="s">
        <v>1219</v>
      </c>
      <c r="J993" s="6">
        <v>69207.600000000006</v>
      </c>
      <c r="K993" s="5">
        <v>45638</v>
      </c>
      <c r="L993" s="7">
        <v>45657</v>
      </c>
    </row>
    <row r="994" spans="1:12" hidden="1" x14ac:dyDescent="0.25">
      <c r="A994" s="4">
        <v>988</v>
      </c>
      <c r="B994" s="2" t="str">
        <f>HYPERLINK("https://my.zakupivli.pro/remote/dispatcher/state_purchase_view/55400951", "UA-2024-12-04-013505-a")</f>
        <v>UA-2024-12-04-013505-a</v>
      </c>
      <c r="C994" s="1" t="s">
        <v>1681</v>
      </c>
      <c r="D994" s="1" t="s">
        <v>735</v>
      </c>
      <c r="E994" s="1" t="s">
        <v>1553</v>
      </c>
      <c r="F994" s="1" t="s">
        <v>87</v>
      </c>
      <c r="G994" s="1" t="s">
        <v>2075</v>
      </c>
      <c r="H994" s="1" t="s">
        <v>984</v>
      </c>
      <c r="I994" s="1" t="s">
        <v>1212</v>
      </c>
      <c r="J994" s="6">
        <v>86188.5</v>
      </c>
      <c r="K994" s="5">
        <v>45637</v>
      </c>
      <c r="L994" s="7">
        <v>45650</v>
      </c>
    </row>
    <row r="995" spans="1:12" hidden="1" x14ac:dyDescent="0.25">
      <c r="A995" s="4">
        <v>989</v>
      </c>
      <c r="B995" s="2" t="str">
        <f>HYPERLINK("https://my.zakupivli.pro/remote/dispatcher/state_purchase_view/55386463", "UA-2024-12-04-007088-a")</f>
        <v>UA-2024-12-04-007088-a</v>
      </c>
      <c r="C995" s="1" t="s">
        <v>1679</v>
      </c>
      <c r="D995" s="1" t="s">
        <v>718</v>
      </c>
      <c r="E995" s="1" t="s">
        <v>1553</v>
      </c>
      <c r="F995" s="1" t="s">
        <v>87</v>
      </c>
      <c r="G995" s="1" t="s">
        <v>2203</v>
      </c>
      <c r="H995" s="1" t="s">
        <v>902</v>
      </c>
      <c r="I995" s="1" t="s">
        <v>1227</v>
      </c>
      <c r="J995" s="6">
        <v>3157784</v>
      </c>
      <c r="K995" s="5">
        <v>45644</v>
      </c>
      <c r="L995" s="7">
        <v>45656</v>
      </c>
    </row>
    <row r="996" spans="1:12" hidden="1" x14ac:dyDescent="0.25">
      <c r="A996" s="4">
        <v>990</v>
      </c>
      <c r="B996" s="2" t="str">
        <f>HYPERLINK("https://my.zakupivli.pro/remote/dispatcher/state_purchase_view/55383761", "UA-2024-12-04-005858-a")</f>
        <v>UA-2024-12-04-005858-a</v>
      </c>
      <c r="C996" s="1" t="s">
        <v>1395</v>
      </c>
      <c r="D996" s="1" t="s">
        <v>704</v>
      </c>
      <c r="E996" s="1" t="s">
        <v>1553</v>
      </c>
      <c r="F996" s="1" t="s">
        <v>87</v>
      </c>
      <c r="G996" s="1" t="s">
        <v>2203</v>
      </c>
      <c r="H996" s="1" t="s">
        <v>902</v>
      </c>
      <c r="I996" s="1" t="s">
        <v>1226</v>
      </c>
      <c r="J996" s="6">
        <v>6637000</v>
      </c>
      <c r="K996" s="5">
        <v>45644</v>
      </c>
      <c r="L996" s="7">
        <v>45656</v>
      </c>
    </row>
    <row r="997" spans="1:12" hidden="1" x14ac:dyDescent="0.25">
      <c r="A997" s="4">
        <v>991</v>
      </c>
      <c r="B997" s="2" t="str">
        <f>HYPERLINK("https://my.zakupivli.pro/remote/dispatcher/state_purchase_view/55383597", "UA-2024-12-04-005745-a")</f>
        <v>UA-2024-12-04-005745-a</v>
      </c>
      <c r="C997" s="1" t="s">
        <v>2061</v>
      </c>
      <c r="D997" s="1" t="s">
        <v>328</v>
      </c>
      <c r="E997" s="1" t="s">
        <v>1553</v>
      </c>
      <c r="F997" s="1" t="s">
        <v>87</v>
      </c>
      <c r="G997" s="1" t="s">
        <v>2274</v>
      </c>
      <c r="H997" s="1" t="s">
        <v>351</v>
      </c>
      <c r="I997" s="1" t="s">
        <v>1208</v>
      </c>
      <c r="J997" s="6">
        <v>4540</v>
      </c>
      <c r="K997" s="5">
        <v>45630</v>
      </c>
      <c r="L997" s="7">
        <v>45657</v>
      </c>
    </row>
    <row r="998" spans="1:12" hidden="1" x14ac:dyDescent="0.25">
      <c r="A998" s="4">
        <v>992</v>
      </c>
      <c r="B998" s="2" t="str">
        <f>HYPERLINK("https://my.zakupivli.pro/remote/dispatcher/state_purchase_view/55353204", "UA-2024-12-03-012602-a")</f>
        <v>UA-2024-12-03-012602-a</v>
      </c>
      <c r="C998" s="1" t="s">
        <v>1684</v>
      </c>
      <c r="D998" s="1" t="s">
        <v>1016</v>
      </c>
      <c r="E998" s="1" t="s">
        <v>1553</v>
      </c>
      <c r="F998" s="1" t="s">
        <v>87</v>
      </c>
      <c r="G998" s="1"/>
      <c r="H998" s="1"/>
      <c r="I998" s="1"/>
      <c r="J998" s="1"/>
      <c r="K998" s="1" t="s">
        <v>53</v>
      </c>
      <c r="L998" s="1"/>
    </row>
    <row r="999" spans="1:12" hidden="1" x14ac:dyDescent="0.25">
      <c r="A999" s="4">
        <v>993</v>
      </c>
      <c r="B999" s="2" t="str">
        <f>HYPERLINK("https://my.zakupivli.pro/remote/dispatcher/state_purchase_view/55339955", "UA-2024-12-03-006536-a")</f>
        <v>UA-2024-12-03-006536-a</v>
      </c>
      <c r="C999" s="1" t="s">
        <v>1817</v>
      </c>
      <c r="D999" s="1" t="s">
        <v>1328</v>
      </c>
      <c r="E999" s="1" t="s">
        <v>1553</v>
      </c>
      <c r="F999" s="1" t="s">
        <v>87</v>
      </c>
      <c r="G999" s="1" t="s">
        <v>2159</v>
      </c>
      <c r="H999" s="1" t="s">
        <v>685</v>
      </c>
      <c r="I999" s="1" t="s">
        <v>1429</v>
      </c>
      <c r="J999" s="6">
        <v>23520</v>
      </c>
      <c r="K999" s="5">
        <v>45629</v>
      </c>
      <c r="L999" s="7">
        <v>45657</v>
      </c>
    </row>
    <row r="1000" spans="1:12" hidden="1" x14ac:dyDescent="0.25">
      <c r="A1000" s="4">
        <v>994</v>
      </c>
      <c r="B1000" s="2" t="str">
        <f>HYPERLINK("https://my.zakupivli.pro/remote/dispatcher/state_purchase_view/55298929", "UA-2024-12-02-006821-a")</f>
        <v>UA-2024-12-02-006821-a</v>
      </c>
      <c r="C1000" s="1" t="s">
        <v>1401</v>
      </c>
      <c r="D1000" s="1" t="s">
        <v>713</v>
      </c>
      <c r="E1000" s="1" t="s">
        <v>1553</v>
      </c>
      <c r="F1000" s="1" t="s">
        <v>87</v>
      </c>
      <c r="G1000" s="1" t="s">
        <v>2203</v>
      </c>
      <c r="H1000" s="1" t="s">
        <v>902</v>
      </c>
      <c r="I1000" s="1" t="s">
        <v>1225</v>
      </c>
      <c r="J1000" s="6">
        <v>105930</v>
      </c>
      <c r="K1000" s="5">
        <v>45643</v>
      </c>
      <c r="L1000" s="7">
        <v>45656</v>
      </c>
    </row>
    <row r="1001" spans="1:12" hidden="1" x14ac:dyDescent="0.25">
      <c r="A1001" s="4">
        <v>995</v>
      </c>
      <c r="B1001" s="2" t="str">
        <f>HYPERLINK("https://my.zakupivli.pro/remote/dispatcher/state_purchase_view/55267594", "UA-2024-11-29-011859-a")</f>
        <v>UA-2024-11-29-011859-a</v>
      </c>
      <c r="C1001" s="1" t="s">
        <v>11</v>
      </c>
      <c r="D1001" s="1" t="s">
        <v>1207</v>
      </c>
      <c r="E1001" s="1" t="s">
        <v>1553</v>
      </c>
      <c r="F1001" s="1" t="s">
        <v>87</v>
      </c>
      <c r="G1001" s="1" t="s">
        <v>1560</v>
      </c>
      <c r="H1001" s="1" t="s">
        <v>108</v>
      </c>
      <c r="I1001" s="1" t="s">
        <v>590</v>
      </c>
      <c r="J1001" s="6">
        <v>47982</v>
      </c>
      <c r="K1001" s="5">
        <v>45625</v>
      </c>
      <c r="L1001" s="7">
        <v>45657</v>
      </c>
    </row>
    <row r="1002" spans="1:12" hidden="1" x14ac:dyDescent="0.25">
      <c r="A1002" s="4">
        <v>996</v>
      </c>
      <c r="B1002" s="2" t="str">
        <f>HYPERLINK("https://my.zakupivli.pro/remote/dispatcher/state_purchase_view/55255035", "UA-2024-11-29-006095-a")</f>
        <v>UA-2024-11-29-006095-a</v>
      </c>
      <c r="C1002" s="1" t="s">
        <v>1731</v>
      </c>
      <c r="D1002" s="1" t="s">
        <v>431</v>
      </c>
      <c r="E1002" s="1" t="s">
        <v>1553</v>
      </c>
      <c r="F1002" s="1" t="s">
        <v>87</v>
      </c>
      <c r="G1002" s="1" t="s">
        <v>2144</v>
      </c>
      <c r="H1002" s="1" t="s">
        <v>435</v>
      </c>
      <c r="I1002" s="1" t="s">
        <v>1332</v>
      </c>
      <c r="J1002" s="6">
        <v>2640</v>
      </c>
      <c r="K1002" s="5">
        <v>45625</v>
      </c>
      <c r="L1002" s="7">
        <v>45657</v>
      </c>
    </row>
    <row r="1003" spans="1:12" hidden="1" x14ac:dyDescent="0.25">
      <c r="A1003" s="4">
        <v>997</v>
      </c>
      <c r="B1003" s="2" t="str">
        <f>HYPERLINK("https://my.zakupivli.pro/remote/dispatcher/state_purchase_view/55254150", "UA-2024-11-29-005730-a")</f>
        <v>UA-2024-11-29-005730-a</v>
      </c>
      <c r="C1003" s="1" t="s">
        <v>1812</v>
      </c>
      <c r="D1003" s="1" t="s">
        <v>350</v>
      </c>
      <c r="E1003" s="1" t="s">
        <v>1553</v>
      </c>
      <c r="F1003" s="1" t="s">
        <v>87</v>
      </c>
      <c r="G1003" s="1" t="s">
        <v>2130</v>
      </c>
      <c r="H1003" s="1" t="s">
        <v>936</v>
      </c>
      <c r="I1003" s="1" t="s">
        <v>1209</v>
      </c>
      <c r="J1003" s="6">
        <v>4455.58</v>
      </c>
      <c r="K1003" s="5">
        <v>45625</v>
      </c>
      <c r="L1003" s="7">
        <v>45657</v>
      </c>
    </row>
    <row r="1004" spans="1:12" hidden="1" x14ac:dyDescent="0.25">
      <c r="A1004" s="4">
        <v>998</v>
      </c>
      <c r="B1004" s="2" t="str">
        <f>HYPERLINK("https://my.zakupivli.pro/remote/dispatcher/state_purchase_view/55252543", "UA-2024-11-29-004934-a")</f>
        <v>UA-2024-11-29-004934-a</v>
      </c>
      <c r="C1004" s="1" t="s">
        <v>1788</v>
      </c>
      <c r="D1004" s="1" t="s">
        <v>737</v>
      </c>
      <c r="E1004" s="1" t="s">
        <v>1553</v>
      </c>
      <c r="F1004" s="1" t="s">
        <v>87</v>
      </c>
      <c r="G1004" s="1" t="s">
        <v>2130</v>
      </c>
      <c r="H1004" s="1" t="s">
        <v>936</v>
      </c>
      <c r="I1004" s="1" t="s">
        <v>1208</v>
      </c>
      <c r="J1004" s="6">
        <v>2621.88</v>
      </c>
      <c r="K1004" s="5">
        <v>45625</v>
      </c>
      <c r="L1004" s="7">
        <v>45657</v>
      </c>
    </row>
    <row r="1005" spans="1:12" hidden="1" x14ac:dyDescent="0.25">
      <c r="A1005" s="4">
        <v>999</v>
      </c>
      <c r="B1005" s="2" t="str">
        <f>HYPERLINK("https://my.zakupivli.pro/remote/dispatcher/state_purchase_view/55236093", "UA-2024-11-28-013481-a")</f>
        <v>UA-2024-11-28-013481-a</v>
      </c>
      <c r="C1005" s="1" t="s">
        <v>2255</v>
      </c>
      <c r="D1005" s="1" t="s">
        <v>897</v>
      </c>
      <c r="E1005" s="1" t="s">
        <v>1553</v>
      </c>
      <c r="F1005" s="1" t="s">
        <v>87</v>
      </c>
      <c r="G1005" s="1" t="s">
        <v>1635</v>
      </c>
      <c r="H1005" s="1" t="s">
        <v>525</v>
      </c>
      <c r="I1005" s="1" t="s">
        <v>75</v>
      </c>
      <c r="J1005" s="6">
        <v>7200</v>
      </c>
      <c r="K1005" s="5">
        <v>45624</v>
      </c>
      <c r="L1005" s="7">
        <v>45657</v>
      </c>
    </row>
    <row r="1006" spans="1:12" hidden="1" x14ac:dyDescent="0.25">
      <c r="A1006" s="4">
        <v>1000</v>
      </c>
      <c r="B1006" s="2" t="str">
        <f>HYPERLINK("https://my.zakupivli.pro/remote/dispatcher/state_purchase_view/55235333", "UA-2024-11-28-013125-a")</f>
        <v>UA-2024-11-28-013125-a</v>
      </c>
      <c r="C1006" s="1" t="s">
        <v>15</v>
      </c>
      <c r="D1006" s="1" t="s">
        <v>1029</v>
      </c>
      <c r="E1006" s="1" t="s">
        <v>1553</v>
      </c>
      <c r="F1006" s="1" t="s">
        <v>87</v>
      </c>
      <c r="G1006" s="1" t="s">
        <v>1623</v>
      </c>
      <c r="H1006" s="1" t="s">
        <v>579</v>
      </c>
      <c r="I1006" s="1" t="s">
        <v>1201</v>
      </c>
      <c r="J1006" s="6">
        <v>30000</v>
      </c>
      <c r="K1006" s="5">
        <v>45624</v>
      </c>
      <c r="L1006" s="7">
        <v>45657</v>
      </c>
    </row>
    <row r="1007" spans="1:12" hidden="1" x14ac:dyDescent="0.25">
      <c r="A1007" s="1" t="s">
        <v>1546</v>
      </c>
    </row>
    <row r="1008" spans="1:12" ht="26.25" x14ac:dyDescent="0.25">
      <c r="A1008" s="4">
        <v>55</v>
      </c>
      <c r="B1008" s="13" t="s">
        <v>2295</v>
      </c>
      <c r="C1008" s="8" t="s">
        <v>1844</v>
      </c>
      <c r="D1008" s="8" t="s">
        <v>2296</v>
      </c>
      <c r="E1008" s="1" t="s">
        <v>1553</v>
      </c>
      <c r="F1008" s="1" t="s">
        <v>87</v>
      </c>
      <c r="G1008" s="1" t="s">
        <v>2297</v>
      </c>
      <c r="H1008">
        <v>44725954</v>
      </c>
      <c r="I1008">
        <v>1000909874</v>
      </c>
      <c r="J1008" s="6">
        <v>3600</v>
      </c>
      <c r="K1008" s="10">
        <v>46141</v>
      </c>
      <c r="L1008" s="10">
        <v>46387</v>
      </c>
    </row>
    <row r="1009" spans="1:12" ht="26.25" x14ac:dyDescent="0.25">
      <c r="A1009" s="4">
        <v>56</v>
      </c>
      <c r="B1009" s="13" t="s">
        <v>2298</v>
      </c>
      <c r="C1009" s="8" t="s">
        <v>1871</v>
      </c>
      <c r="D1009" s="8" t="s">
        <v>2299</v>
      </c>
      <c r="E1009" s="1" t="s">
        <v>1553</v>
      </c>
      <c r="F1009" s="1" t="s">
        <v>87</v>
      </c>
      <c r="G1009" s="8" t="s">
        <v>2300</v>
      </c>
      <c r="H1009" s="11">
        <v>40957368</v>
      </c>
      <c r="I1009" s="15" t="s">
        <v>289</v>
      </c>
      <c r="J1009" s="6">
        <v>8000</v>
      </c>
      <c r="K1009" s="10">
        <v>46140</v>
      </c>
      <c r="L1009" s="10">
        <v>46387</v>
      </c>
    </row>
    <row r="1010" spans="1:12" x14ac:dyDescent="0.25">
      <c r="A1010" s="4">
        <v>57</v>
      </c>
      <c r="B1010" s="13" t="s">
        <v>2301</v>
      </c>
      <c r="C1010" s="8" t="s">
        <v>1664</v>
      </c>
      <c r="D1010" s="8" t="s">
        <v>2302</v>
      </c>
      <c r="E1010" s="1" t="s">
        <v>1553</v>
      </c>
      <c r="F1010" s="1" t="s">
        <v>87</v>
      </c>
      <c r="G1010" s="1" t="s">
        <v>2303</v>
      </c>
      <c r="H1010">
        <v>39779821</v>
      </c>
      <c r="I1010">
        <v>193</v>
      </c>
      <c r="J1010" s="6">
        <v>2152571.4300000002</v>
      </c>
      <c r="K1010" s="10">
        <v>46150</v>
      </c>
      <c r="L1010" s="10">
        <v>46387</v>
      </c>
    </row>
    <row r="1011" spans="1:12" x14ac:dyDescent="0.25">
      <c r="A1011" s="4">
        <v>58</v>
      </c>
      <c r="B1011" s="13" t="s">
        <v>2304</v>
      </c>
      <c r="C1011" s="8" t="s">
        <v>2305</v>
      </c>
      <c r="D1011" s="8" t="s">
        <v>2306</v>
      </c>
      <c r="E1011" s="1" t="s">
        <v>1553</v>
      </c>
      <c r="F1011" s="1" t="s">
        <v>87</v>
      </c>
      <c r="G1011" s="1" t="s">
        <v>2072</v>
      </c>
      <c r="H1011">
        <v>45096342</v>
      </c>
      <c r="I1011">
        <v>196</v>
      </c>
      <c r="J1011" s="6">
        <v>435671.9</v>
      </c>
      <c r="K1011" s="10">
        <v>46154</v>
      </c>
      <c r="L1011" s="10">
        <v>46387</v>
      </c>
    </row>
    <row r="1012" spans="1:12" ht="26.25" x14ac:dyDescent="0.25">
      <c r="A1012" s="4">
        <v>59</v>
      </c>
      <c r="B1012" s="13" t="s">
        <v>2307</v>
      </c>
      <c r="C1012" s="8" t="s">
        <v>2308</v>
      </c>
      <c r="D1012" s="8" t="s">
        <v>2309</v>
      </c>
      <c r="E1012" s="1" t="s">
        <v>1553</v>
      </c>
      <c r="F1012" s="1" t="s">
        <v>87</v>
      </c>
      <c r="G1012" s="1" t="s">
        <v>2072</v>
      </c>
      <c r="H1012">
        <v>45096342</v>
      </c>
      <c r="I1012">
        <v>198</v>
      </c>
      <c r="J1012" s="6">
        <v>210897</v>
      </c>
      <c r="K1012" s="10">
        <v>46154</v>
      </c>
      <c r="L1012" s="10">
        <v>46387</v>
      </c>
    </row>
    <row r="1013" spans="1:12" ht="26.25" x14ac:dyDescent="0.25">
      <c r="A1013" s="4">
        <v>60</v>
      </c>
      <c r="B1013" s="13" t="s">
        <v>2310</v>
      </c>
      <c r="C1013" s="8" t="s">
        <v>2311</v>
      </c>
      <c r="D1013" s="8" t="s">
        <v>2312</v>
      </c>
      <c r="E1013" s="1" t="s">
        <v>1553</v>
      </c>
      <c r="F1013" s="1" t="s">
        <v>87</v>
      </c>
      <c r="G1013" s="1" t="s">
        <v>2313</v>
      </c>
      <c r="H1013">
        <v>43268872</v>
      </c>
      <c r="I1013">
        <v>203</v>
      </c>
      <c r="J1013" s="6">
        <v>5906.4</v>
      </c>
      <c r="K1013" s="10">
        <v>46154</v>
      </c>
      <c r="L1013" s="10">
        <v>46387</v>
      </c>
    </row>
    <row r="1014" spans="1:12" ht="26.25" x14ac:dyDescent="0.25">
      <c r="A1014" s="4">
        <v>61</v>
      </c>
      <c r="B1014" s="13" t="s">
        <v>2314</v>
      </c>
      <c r="C1014" s="8" t="s">
        <v>2311</v>
      </c>
      <c r="D1014" s="8" t="s">
        <v>2312</v>
      </c>
      <c r="E1014" s="1" t="s">
        <v>1553</v>
      </c>
      <c r="F1014" s="1" t="s">
        <v>87</v>
      </c>
      <c r="G1014" s="1" t="s">
        <v>2313</v>
      </c>
      <c r="H1014">
        <v>43268872</v>
      </c>
      <c r="I1014">
        <v>204</v>
      </c>
      <c r="J1014" s="6">
        <v>223240.52</v>
      </c>
      <c r="K1014" s="10">
        <v>46154</v>
      </c>
      <c r="L1014" s="10">
        <v>46387</v>
      </c>
    </row>
    <row r="1015" spans="1:12" ht="26.25" x14ac:dyDescent="0.25">
      <c r="A1015" s="4">
        <v>62</v>
      </c>
      <c r="B1015" s="13" t="s">
        <v>2315</v>
      </c>
      <c r="C1015" s="8" t="s">
        <v>2316</v>
      </c>
      <c r="D1015" s="8" t="s">
        <v>2317</v>
      </c>
      <c r="E1015" s="1" t="s">
        <v>1553</v>
      </c>
      <c r="F1015" s="1" t="s">
        <v>87</v>
      </c>
      <c r="G1015" s="1" t="s">
        <v>2318</v>
      </c>
      <c r="H1015">
        <v>43977041</v>
      </c>
      <c r="I1015">
        <v>205</v>
      </c>
      <c r="J1015" s="12">
        <v>29796</v>
      </c>
      <c r="K1015" s="10">
        <v>46156</v>
      </c>
      <c r="L1015" s="10">
        <v>46387</v>
      </c>
    </row>
    <row r="1016" spans="1:12" ht="26.25" x14ac:dyDescent="0.25">
      <c r="A1016" s="4">
        <v>63</v>
      </c>
      <c r="B1016" s="14" t="s">
        <v>2319</v>
      </c>
      <c r="C1016" s="8" t="s">
        <v>2320</v>
      </c>
      <c r="D1016" s="8" t="s">
        <v>2312</v>
      </c>
      <c r="E1016" s="1" t="s">
        <v>1553</v>
      </c>
      <c r="F1016" s="1" t="s">
        <v>87</v>
      </c>
      <c r="G1016" s="1" t="s">
        <v>2321</v>
      </c>
      <c r="H1016">
        <v>38218086</v>
      </c>
      <c r="I1016">
        <v>223</v>
      </c>
      <c r="J1016" s="6">
        <v>23636.400000000001</v>
      </c>
      <c r="K1016" s="10">
        <v>46169</v>
      </c>
      <c r="L1016" s="10">
        <v>46387</v>
      </c>
    </row>
    <row r="1017" spans="1:12" ht="39" x14ac:dyDescent="0.25">
      <c r="A1017" s="4">
        <v>64</v>
      </c>
      <c r="B1017" s="14" t="s">
        <v>2322</v>
      </c>
      <c r="C1017" s="8" t="s">
        <v>2323</v>
      </c>
      <c r="D1017" s="8" t="s">
        <v>2324</v>
      </c>
      <c r="E1017" s="1" t="s">
        <v>1553</v>
      </c>
      <c r="F1017" s="1" t="s">
        <v>87</v>
      </c>
      <c r="G1017" s="1" t="s">
        <v>2325</v>
      </c>
      <c r="H1017">
        <v>30109129</v>
      </c>
      <c r="I1017">
        <v>225</v>
      </c>
      <c r="J1017" s="6">
        <v>162640</v>
      </c>
      <c r="K1017" s="10">
        <v>46170</v>
      </c>
      <c r="L1017" s="10">
        <v>46387</v>
      </c>
    </row>
    <row r="1018" spans="1:12" x14ac:dyDescent="0.25">
      <c r="A1018" s="4">
        <v>65</v>
      </c>
      <c r="B1018" s="14" t="s">
        <v>2326</v>
      </c>
      <c r="C1018" s="8" t="s">
        <v>2327</v>
      </c>
      <c r="D1018" s="8" t="s">
        <v>2328</v>
      </c>
      <c r="E1018" s="1" t="s">
        <v>1553</v>
      </c>
      <c r="F1018" s="1" t="s">
        <v>87</v>
      </c>
      <c r="G1018" s="1" t="s">
        <v>2238</v>
      </c>
      <c r="H1018">
        <v>2659817946</v>
      </c>
      <c r="I1018">
        <v>226</v>
      </c>
      <c r="J1018" s="6">
        <v>800</v>
      </c>
      <c r="K1018" s="10">
        <v>46171</v>
      </c>
      <c r="L1018" s="10">
        <v>46387</v>
      </c>
    </row>
    <row r="1019" spans="1:12" ht="26.25" x14ac:dyDescent="0.25">
      <c r="A1019" s="4">
        <v>66</v>
      </c>
      <c r="B1019" s="14" t="s">
        <v>2329</v>
      </c>
      <c r="C1019" s="8" t="s">
        <v>2330</v>
      </c>
      <c r="D1019" s="8" t="s">
        <v>2312</v>
      </c>
      <c r="E1019" s="1" t="s">
        <v>1553</v>
      </c>
      <c r="F1019" s="1" t="s">
        <v>87</v>
      </c>
      <c r="G1019" s="1" t="s">
        <v>2087</v>
      </c>
      <c r="H1019">
        <v>43808856</v>
      </c>
      <c r="I1019">
        <v>227</v>
      </c>
      <c r="J1019" s="6">
        <v>29453.89</v>
      </c>
      <c r="K1019" s="10">
        <v>46169</v>
      </c>
      <c r="L1019" s="10">
        <v>46387</v>
      </c>
    </row>
    <row r="1020" spans="1:12" ht="26.25" x14ac:dyDescent="0.25">
      <c r="A1020" s="4">
        <v>67</v>
      </c>
      <c r="B1020" s="14" t="s">
        <v>2331</v>
      </c>
      <c r="C1020" s="8" t="s">
        <v>1638</v>
      </c>
      <c r="D1020" s="8" t="s">
        <v>2312</v>
      </c>
      <c r="E1020" s="1" t="s">
        <v>1553</v>
      </c>
      <c r="F1020" s="1" t="s">
        <v>87</v>
      </c>
      <c r="G1020" s="1" t="s">
        <v>2332</v>
      </c>
      <c r="H1020">
        <v>45533831</v>
      </c>
      <c r="I1020">
        <v>230</v>
      </c>
      <c r="J1020" s="6">
        <v>6835461.1600000001</v>
      </c>
      <c r="K1020" s="10">
        <v>46169</v>
      </c>
      <c r="L1020" s="10">
        <v>46387</v>
      </c>
    </row>
    <row r="1021" spans="1:12" x14ac:dyDescent="0.25">
      <c r="A1021" s="4">
        <v>68</v>
      </c>
      <c r="B1021" s="14" t="s">
        <v>2333</v>
      </c>
      <c r="C1021" s="8" t="s">
        <v>2334</v>
      </c>
      <c r="D1021" s="8" t="s">
        <v>2335</v>
      </c>
      <c r="E1021" s="1" t="s">
        <v>1553</v>
      </c>
      <c r="F1021" s="1" t="s">
        <v>87</v>
      </c>
      <c r="G1021" s="1" t="s">
        <v>2336</v>
      </c>
      <c r="H1021">
        <v>44838860</v>
      </c>
      <c r="I1021">
        <v>228</v>
      </c>
      <c r="J1021" s="6">
        <v>74940</v>
      </c>
      <c r="K1021" s="10">
        <v>46171</v>
      </c>
      <c r="L1021" s="10">
        <v>46387</v>
      </c>
    </row>
    <row r="1022" spans="1:12" x14ac:dyDescent="0.25">
      <c r="E1022" s="1"/>
      <c r="F1022" s="1"/>
    </row>
  </sheetData>
  <autoFilter ref="A6:L1007" xr:uid="{00000000-0009-0000-0000-000000000000}">
    <filterColumn colId="10">
      <filters>
        <dateGroupItem year="2026" month="5" dateTimeGrouping="month"/>
      </filters>
    </filterColumn>
  </autoFilter>
  <hyperlinks>
    <hyperlink ref="A2" r:id="rId1" display="mailto:report-feedback@zakupivli.pro" xr:uid="{00000000-0004-0000-0000-000000000000}"/>
    <hyperlink ref="B7" r:id="rId2" display="https://my.zakupivli.pro/remote/dispatcher/state_purchase_view/68557162" xr:uid="{00000000-0004-0000-0000-000001000000}"/>
    <hyperlink ref="B8" r:id="rId3" display="https://my.zakupivli.pro/remote/dispatcher/state_purchase_view/68556599" xr:uid="{00000000-0004-0000-0000-000002000000}"/>
    <hyperlink ref="B9" r:id="rId4" display="https://my.zakupivli.pro/remote/dispatcher/state_purchase_view/68556229" xr:uid="{00000000-0004-0000-0000-000003000000}"/>
    <hyperlink ref="B10" r:id="rId5" display="https://my.zakupivli.pro/remote/dispatcher/state_purchase_view/68533592" xr:uid="{00000000-0004-0000-0000-000004000000}"/>
    <hyperlink ref="B11" r:id="rId6" display="https://my.zakupivli.pro/remote/dispatcher/state_purchase_view/68533015" xr:uid="{00000000-0004-0000-0000-000005000000}"/>
    <hyperlink ref="B12" r:id="rId7" display="https://my.zakupivli.pro/remote/dispatcher/state_purchase_view/68532244" xr:uid="{00000000-0004-0000-0000-000006000000}"/>
    <hyperlink ref="B13" r:id="rId8" display="https://my.zakupivli.pro/remote/dispatcher/state_purchase_view/68531759" xr:uid="{00000000-0004-0000-0000-000007000000}"/>
    <hyperlink ref="B14" r:id="rId9" display="https://my.zakupivli.pro/remote/dispatcher/state_purchase_view/68525812" xr:uid="{00000000-0004-0000-0000-000008000000}"/>
    <hyperlink ref="B15" r:id="rId10" display="https://my.zakupivli.pro/remote/dispatcher/state_purchase_view/68504679" xr:uid="{00000000-0004-0000-0000-000009000000}"/>
    <hyperlink ref="B16" r:id="rId11" display="https://my.zakupivli.pro/remote/dispatcher/state_purchase_view/68496742" xr:uid="{00000000-0004-0000-0000-00000A000000}"/>
    <hyperlink ref="B17" r:id="rId12" display="https://my.zakupivli.pro/remote/dispatcher/state_purchase_view/68496304" xr:uid="{00000000-0004-0000-0000-00000B000000}"/>
    <hyperlink ref="B18" r:id="rId13" display="https://my.zakupivli.pro/remote/dispatcher/state_purchase_view/68493963" xr:uid="{00000000-0004-0000-0000-00000C000000}"/>
    <hyperlink ref="B19" r:id="rId14" display="https://my.zakupivli.pro/remote/dispatcher/state_purchase_view/68490708" xr:uid="{00000000-0004-0000-0000-00000D000000}"/>
    <hyperlink ref="B20" r:id="rId15" display="https://my.zakupivli.pro/remote/dispatcher/state_purchase_view/68489510" xr:uid="{00000000-0004-0000-0000-00000E000000}"/>
    <hyperlink ref="B21" r:id="rId16" display="https://my.zakupivli.pro/remote/dispatcher/state_purchase_view/68487443" xr:uid="{00000000-0004-0000-0000-00000F000000}"/>
    <hyperlink ref="B22" r:id="rId17" display="https://my.zakupivli.pro/remote/dispatcher/state_purchase_view/68483396" xr:uid="{00000000-0004-0000-0000-000010000000}"/>
    <hyperlink ref="B23" r:id="rId18" display="https://my.zakupivli.pro/remote/dispatcher/state_purchase_view/68469461" xr:uid="{00000000-0004-0000-0000-000011000000}"/>
    <hyperlink ref="B24" r:id="rId19" display="https://my.zakupivli.pro/remote/dispatcher/state_purchase_view/68437752" xr:uid="{00000000-0004-0000-0000-000012000000}"/>
    <hyperlink ref="B25" r:id="rId20" display="https://my.zakupivli.pro/remote/dispatcher/state_purchase_view/68420182" xr:uid="{00000000-0004-0000-0000-000013000000}"/>
    <hyperlink ref="B26" r:id="rId21" display="https://my.zakupivli.pro/remote/dispatcher/state_purchase_view/68419474" xr:uid="{00000000-0004-0000-0000-000014000000}"/>
    <hyperlink ref="B27" r:id="rId22" display="https://my.zakupivli.pro/remote/dispatcher/state_purchase_view/68418840" xr:uid="{00000000-0004-0000-0000-000015000000}"/>
    <hyperlink ref="B28" r:id="rId23" display="https://my.zakupivli.pro/remote/dispatcher/state_purchase_view/68398987" xr:uid="{00000000-0004-0000-0000-000016000000}"/>
    <hyperlink ref="B29" r:id="rId24" display="https://my.zakupivli.pro/remote/dispatcher/state_purchase_view/68370500" xr:uid="{00000000-0004-0000-0000-000017000000}"/>
    <hyperlink ref="B30" r:id="rId25" display="https://my.zakupivli.pro/remote/dispatcher/state_purchase_view/68369920" xr:uid="{00000000-0004-0000-0000-000018000000}"/>
    <hyperlink ref="B31" r:id="rId26" display="https://my.zakupivli.pro/remote/dispatcher/state_purchase_view/68369578" xr:uid="{00000000-0004-0000-0000-000019000000}"/>
    <hyperlink ref="B32" r:id="rId27" display="https://my.zakupivli.pro/remote/dispatcher/state_purchase_view/68368939" xr:uid="{00000000-0004-0000-0000-00001A000000}"/>
    <hyperlink ref="B33" r:id="rId28" display="https://my.zakupivli.pro/remote/dispatcher/state_purchase_view/68364712" xr:uid="{00000000-0004-0000-0000-00001B000000}"/>
    <hyperlink ref="B34" r:id="rId29" display="https://my.zakupivli.pro/remote/dispatcher/state_purchase_view/68344891" xr:uid="{00000000-0004-0000-0000-00001C000000}"/>
    <hyperlink ref="B35" r:id="rId30" display="https://my.zakupivli.pro/remote/dispatcher/state_purchase_view/68344529" xr:uid="{00000000-0004-0000-0000-00001D000000}"/>
    <hyperlink ref="B36" r:id="rId31" display="https://my.zakupivli.pro/remote/dispatcher/state_purchase_view/68339748" xr:uid="{00000000-0004-0000-0000-00001E000000}"/>
    <hyperlink ref="B37" r:id="rId32" display="https://my.zakupivli.pro/remote/dispatcher/state_purchase_view/68332976" xr:uid="{00000000-0004-0000-0000-000020000000}"/>
    <hyperlink ref="B38" r:id="rId33" display="https://my.zakupivli.pro/remote/dispatcher/state_purchase_view/68329634" xr:uid="{00000000-0004-0000-0000-000022000000}"/>
    <hyperlink ref="B39" r:id="rId34" display="https://my.zakupivli.pro/remote/dispatcher/state_purchase_view/68307579" xr:uid="{00000000-0004-0000-0000-000024000000}"/>
    <hyperlink ref="B40" r:id="rId35" display="https://my.zakupivli.pro/remote/dispatcher/state_purchase_view/68306596" xr:uid="{00000000-0004-0000-0000-000025000000}"/>
    <hyperlink ref="B41" r:id="rId36" display="https://my.zakupivli.pro/remote/dispatcher/state_purchase_view/68303792" xr:uid="{00000000-0004-0000-0000-000026000000}"/>
    <hyperlink ref="B42" r:id="rId37" display="https://my.zakupivli.pro/remote/dispatcher/state_purchase_view/68303107" xr:uid="{00000000-0004-0000-0000-000027000000}"/>
    <hyperlink ref="B43" r:id="rId38" display="https://my.zakupivli.pro/remote/dispatcher/state_purchase_view/68274210" xr:uid="{00000000-0004-0000-0000-000028000000}"/>
    <hyperlink ref="B44" r:id="rId39" display="https://my.zakupivli.pro/remote/dispatcher/state_purchase_view/68273840" xr:uid="{00000000-0004-0000-0000-000029000000}"/>
    <hyperlink ref="B45" r:id="rId40" display="https://my.zakupivli.pro/remote/dispatcher/state_purchase_view/68211105" xr:uid="{00000000-0004-0000-0000-00002A000000}"/>
    <hyperlink ref="B46" r:id="rId41" display="https://my.zakupivli.pro/remote/dispatcher/state_purchase_view/68209251" xr:uid="{00000000-0004-0000-0000-00002B000000}"/>
    <hyperlink ref="B47" r:id="rId42" display="https://my.zakupivli.pro/remote/dispatcher/state_purchase_view/68208941" xr:uid="{00000000-0004-0000-0000-00002C000000}"/>
    <hyperlink ref="B48" r:id="rId43" display="https://my.zakupivli.pro/remote/dispatcher/state_purchase_view/68207621" xr:uid="{00000000-0004-0000-0000-00002D000000}"/>
    <hyperlink ref="B49" r:id="rId44" display="https://my.zakupivli.pro/remote/dispatcher/state_purchase_view/68206821" xr:uid="{00000000-0004-0000-0000-00002E000000}"/>
    <hyperlink ref="B50" r:id="rId45" display="https://my.zakupivli.pro/remote/dispatcher/state_purchase_view/68205932" xr:uid="{00000000-0004-0000-0000-00002F000000}"/>
    <hyperlink ref="B51" r:id="rId46" display="https://my.zakupivli.pro/remote/dispatcher/state_purchase_view/68204513" xr:uid="{00000000-0004-0000-0000-000030000000}"/>
    <hyperlink ref="B52" r:id="rId47" display="https://my.zakupivli.pro/remote/dispatcher/state_purchase_view/68202470" xr:uid="{00000000-0004-0000-0000-000031000000}"/>
    <hyperlink ref="B53" r:id="rId48" display="https://my.zakupivli.pro/remote/dispatcher/state_purchase_view/68201532" xr:uid="{00000000-0004-0000-0000-000032000000}"/>
    <hyperlink ref="B54" r:id="rId49" display="https://my.zakupivli.pro/remote/dispatcher/state_purchase_view/68201134" xr:uid="{00000000-0004-0000-0000-000033000000}"/>
    <hyperlink ref="B55" r:id="rId50" display="https://my.zakupivli.pro/remote/dispatcher/state_purchase_view/68200478" xr:uid="{00000000-0004-0000-0000-000034000000}"/>
    <hyperlink ref="B56" r:id="rId51" display="https://my.zakupivli.pro/remote/dispatcher/state_purchase_view/68162923" xr:uid="{00000000-0004-0000-0000-000035000000}"/>
    <hyperlink ref="B57" r:id="rId52" display="https://my.zakupivli.pro/remote/dispatcher/state_purchase_view/68082590" xr:uid="{00000000-0004-0000-0000-000036000000}"/>
    <hyperlink ref="B58" r:id="rId53" display="https://my.zakupivli.pro/remote/dispatcher/state_purchase_view/68009438" xr:uid="{00000000-0004-0000-0000-000037000000}"/>
    <hyperlink ref="B59" r:id="rId54" display="https://my.zakupivli.pro/remote/dispatcher/state_purchase_view/68008553" xr:uid="{00000000-0004-0000-0000-000038000000}"/>
    <hyperlink ref="B60" r:id="rId55" display="https://my.zakupivli.pro/remote/dispatcher/state_purchase_view/68006415" xr:uid="{00000000-0004-0000-0000-000039000000}"/>
    <hyperlink ref="B61" r:id="rId56" display="https://my.zakupivli.pro/remote/dispatcher/state_purchase_view/68004151" xr:uid="{00000000-0004-0000-0000-00003A000000}"/>
    <hyperlink ref="B62" r:id="rId57" display="https://my.zakupivli.pro/remote/dispatcher/state_purchase_view/68003276" xr:uid="{00000000-0004-0000-0000-00003B000000}"/>
    <hyperlink ref="B63" r:id="rId58" display="https://my.zakupivli.pro/remote/dispatcher/state_purchase_view/68002506" xr:uid="{00000000-0004-0000-0000-00003D000000}"/>
    <hyperlink ref="B64" r:id="rId59" display="https://my.zakupivli.pro/remote/dispatcher/state_purchase_view/67973896" xr:uid="{00000000-0004-0000-0000-00003E000000}"/>
    <hyperlink ref="B65" r:id="rId60" display="https://my.zakupivli.pro/remote/dispatcher/state_purchase_view/67941404" xr:uid="{00000000-0004-0000-0000-00003F000000}"/>
    <hyperlink ref="B66" r:id="rId61" display="https://my.zakupivli.pro/remote/dispatcher/state_purchase_view/67908058" xr:uid="{00000000-0004-0000-0000-000040000000}"/>
    <hyperlink ref="B67" r:id="rId62" display="https://my.zakupivli.pro/remote/dispatcher/state_purchase_view/67853403" xr:uid="{00000000-0004-0000-0000-000041000000}"/>
    <hyperlink ref="B68" r:id="rId63" display="https://my.zakupivli.pro/remote/dispatcher/state_purchase_view/67852823" xr:uid="{00000000-0004-0000-0000-000042000000}"/>
    <hyperlink ref="B69" r:id="rId64" display="https://my.zakupivli.pro/remote/dispatcher/state_purchase_view/67852548" xr:uid="{00000000-0004-0000-0000-000044000000}"/>
    <hyperlink ref="B70" r:id="rId65" display="https://my.zakupivli.pro/remote/dispatcher/state_purchase_view/67851186" xr:uid="{00000000-0004-0000-0000-000045000000}"/>
    <hyperlink ref="B71" r:id="rId66" display="https://my.zakupivli.pro/remote/dispatcher/state_purchase_view/67850326" xr:uid="{00000000-0004-0000-0000-000046000000}"/>
    <hyperlink ref="B72" r:id="rId67" display="https://my.zakupivli.pro/remote/dispatcher/state_purchase_view/67849284" xr:uid="{00000000-0004-0000-0000-000047000000}"/>
    <hyperlink ref="B73" r:id="rId68" display="https://my.zakupivli.pro/remote/dispatcher/state_purchase_view/67848929" xr:uid="{00000000-0004-0000-0000-000048000000}"/>
    <hyperlink ref="B74" r:id="rId69" display="https://my.zakupivli.pro/remote/dispatcher/state_purchase_view/67848395" xr:uid="{00000000-0004-0000-0000-000049000000}"/>
    <hyperlink ref="B75" r:id="rId70" display="https://my.zakupivli.pro/remote/dispatcher/state_purchase_view/67833470" xr:uid="{00000000-0004-0000-0000-00004A000000}"/>
    <hyperlink ref="B76" r:id="rId71" display="https://my.zakupivli.pro/remote/dispatcher/state_purchase_view/67792864" xr:uid="{00000000-0004-0000-0000-00004C000000}"/>
    <hyperlink ref="B77" r:id="rId72" display="https://my.zakupivli.pro/remote/dispatcher/state_purchase_view/67790101" xr:uid="{00000000-0004-0000-0000-00004E000000}"/>
    <hyperlink ref="B78" r:id="rId73" display="https://my.zakupivli.pro/remote/dispatcher/state_purchase_view/67736350" xr:uid="{00000000-0004-0000-0000-000050000000}"/>
    <hyperlink ref="B79" r:id="rId74" display="https://my.zakupivli.pro/remote/dispatcher/state_purchase_view/67723046" xr:uid="{00000000-0004-0000-0000-000051000000}"/>
    <hyperlink ref="B80" r:id="rId75" display="https://my.zakupivli.pro/remote/dispatcher/state_purchase_view/67722347" xr:uid="{00000000-0004-0000-0000-000052000000}"/>
    <hyperlink ref="B81" r:id="rId76" display="https://my.zakupivli.pro/remote/dispatcher/state_purchase_view/67721187" xr:uid="{00000000-0004-0000-0000-000053000000}"/>
    <hyperlink ref="B82" r:id="rId77" display="https://my.zakupivli.pro/remote/dispatcher/state_purchase_view/67686541" xr:uid="{00000000-0004-0000-0000-000054000000}"/>
    <hyperlink ref="B83" r:id="rId78" display="https://my.zakupivli.pro/remote/dispatcher/state_purchase_view/67685939" xr:uid="{00000000-0004-0000-0000-000055000000}"/>
    <hyperlink ref="B84" r:id="rId79" display="https://my.zakupivli.pro/remote/dispatcher/state_purchase_view/67685204" xr:uid="{00000000-0004-0000-0000-000056000000}"/>
    <hyperlink ref="B85" r:id="rId80" display="https://my.zakupivli.pro/remote/dispatcher/state_purchase_view/67684321" xr:uid="{00000000-0004-0000-0000-000057000000}"/>
    <hyperlink ref="B86" r:id="rId81" display="https://my.zakupivli.pro/remote/dispatcher/state_purchase_view/67652792" xr:uid="{00000000-0004-0000-0000-000058000000}"/>
    <hyperlink ref="B87" r:id="rId82" display="https://my.zakupivli.pro/remote/dispatcher/state_purchase_view/67651243" xr:uid="{00000000-0004-0000-0000-000059000000}"/>
    <hyperlink ref="B88" r:id="rId83" display="https://my.zakupivli.pro/remote/dispatcher/state_purchase_view/67650939" xr:uid="{00000000-0004-0000-0000-00005A000000}"/>
    <hyperlink ref="B89" r:id="rId84" display="https://my.zakupivli.pro/remote/dispatcher/state_purchase_view/67650261" xr:uid="{00000000-0004-0000-0000-00005B000000}"/>
    <hyperlink ref="B90" r:id="rId85" display="https://my.zakupivli.pro/remote/dispatcher/state_purchase_view/67634648" xr:uid="{00000000-0004-0000-0000-00005C000000}"/>
    <hyperlink ref="B91" r:id="rId86" display="https://my.zakupivli.pro/remote/dispatcher/state_purchase_view/67591034" xr:uid="{00000000-0004-0000-0000-00005E000000}"/>
    <hyperlink ref="B92" r:id="rId87" display="https://my.zakupivli.pro/remote/dispatcher/state_purchase_view/67515345" xr:uid="{00000000-0004-0000-0000-00005F000000}"/>
    <hyperlink ref="B93" r:id="rId88" display="https://my.zakupivli.pro/remote/dispatcher/state_purchase_view/67503602" xr:uid="{00000000-0004-0000-0000-000060000000}"/>
    <hyperlink ref="B94" r:id="rId89" display="https://my.zakupivli.pro/remote/dispatcher/state_purchase_view/67497886" xr:uid="{00000000-0004-0000-0000-000061000000}"/>
    <hyperlink ref="B95" r:id="rId90" display="https://my.zakupivli.pro/remote/dispatcher/state_purchase_view/67477385" xr:uid="{00000000-0004-0000-0000-000062000000}"/>
    <hyperlink ref="B96" r:id="rId91" display="https://my.zakupivli.pro/remote/dispatcher/state_purchase_view/67474204" xr:uid="{00000000-0004-0000-0000-000063000000}"/>
    <hyperlink ref="B97" r:id="rId92" display="https://my.zakupivli.pro/remote/dispatcher/state_purchase_view/67474023" xr:uid="{00000000-0004-0000-0000-000064000000}"/>
    <hyperlink ref="B98" r:id="rId93" display="https://my.zakupivli.pro/remote/dispatcher/state_purchase_view/67473812" xr:uid="{00000000-0004-0000-0000-000065000000}"/>
    <hyperlink ref="B99" r:id="rId94" display="https://my.zakupivli.pro/remote/dispatcher/state_purchase_view/67473633" xr:uid="{00000000-0004-0000-0000-000066000000}"/>
    <hyperlink ref="B100" r:id="rId95" display="https://my.zakupivli.pro/remote/dispatcher/state_purchase_view/67464425" xr:uid="{00000000-0004-0000-0000-000067000000}"/>
    <hyperlink ref="B101" r:id="rId96" display="https://my.zakupivli.pro/remote/dispatcher/state_purchase_view/67455815" xr:uid="{00000000-0004-0000-0000-000068000000}"/>
    <hyperlink ref="B102" r:id="rId97" display="https://my.zakupivli.pro/remote/dispatcher/state_purchase_view/67404640" xr:uid="{00000000-0004-0000-0000-000069000000}"/>
    <hyperlink ref="B103" r:id="rId98" display="https://my.zakupivli.pro/remote/dispatcher/state_purchase_view/67404257" xr:uid="{00000000-0004-0000-0000-00006A000000}"/>
    <hyperlink ref="B104" r:id="rId99" display="https://my.zakupivli.pro/remote/dispatcher/state_purchase_view/67403852" xr:uid="{00000000-0004-0000-0000-00006B000000}"/>
    <hyperlink ref="B105" r:id="rId100" display="https://my.zakupivli.pro/remote/dispatcher/state_purchase_view/67402839" xr:uid="{00000000-0004-0000-0000-00006C000000}"/>
    <hyperlink ref="B106" r:id="rId101" display="https://my.zakupivli.pro/remote/dispatcher/state_purchase_view/67371072" xr:uid="{00000000-0004-0000-0000-00006D000000}"/>
    <hyperlink ref="B107" r:id="rId102" display="https://my.zakupivli.pro/remote/dispatcher/state_purchase_view/67354212" xr:uid="{00000000-0004-0000-0000-00006E000000}"/>
    <hyperlink ref="B108" r:id="rId103" display="https://my.zakupivli.pro/remote/dispatcher/state_purchase_view/67351909" xr:uid="{00000000-0004-0000-0000-000070000000}"/>
    <hyperlink ref="B109" r:id="rId104" display="https://my.zakupivli.pro/remote/dispatcher/state_purchase_view/67351864" xr:uid="{00000000-0004-0000-0000-000071000000}"/>
    <hyperlink ref="B110" r:id="rId105" display="https://my.zakupivli.pro/remote/dispatcher/state_purchase_view/67338573" xr:uid="{00000000-0004-0000-0000-000073000000}"/>
    <hyperlink ref="B111" r:id="rId106" display="https://my.zakupivli.pro/remote/dispatcher/state_purchase_view/67334041" xr:uid="{00000000-0004-0000-0000-000074000000}"/>
    <hyperlink ref="B112" r:id="rId107" display="https://my.zakupivli.pro/remote/dispatcher/state_purchase_view/67321964" xr:uid="{00000000-0004-0000-0000-000076000000}"/>
    <hyperlink ref="B113" r:id="rId108" display="https://my.zakupivli.pro/remote/dispatcher/state_purchase_view/67265831" xr:uid="{00000000-0004-0000-0000-000078000000}"/>
    <hyperlink ref="B114" r:id="rId109" display="https://my.zakupivli.pro/remote/dispatcher/state_purchase_view/67253333" xr:uid="{00000000-0004-0000-0000-000079000000}"/>
    <hyperlink ref="B115" r:id="rId110" display="https://my.zakupivli.pro/remote/dispatcher/state_purchase_view/67241632" xr:uid="{00000000-0004-0000-0000-00007A000000}"/>
    <hyperlink ref="B116" r:id="rId111" display="https://my.zakupivli.pro/remote/dispatcher/state_purchase_view/67240557" xr:uid="{00000000-0004-0000-0000-00007D000000}"/>
    <hyperlink ref="B117" r:id="rId112" display="https://my.zakupivli.pro/remote/dispatcher/state_purchase_view/67239756" xr:uid="{00000000-0004-0000-0000-00007E000000}"/>
    <hyperlink ref="B118" r:id="rId113" display="https://my.zakupivli.pro/remote/dispatcher/state_purchase_view/67231955" xr:uid="{00000000-0004-0000-0000-00007F000000}"/>
    <hyperlink ref="B119" r:id="rId114" display="https://my.zakupivli.pro/remote/dispatcher/state_purchase_view/67202831" xr:uid="{00000000-0004-0000-0000-000080000000}"/>
    <hyperlink ref="B120" r:id="rId115" display="https://my.zakupivli.pro/remote/dispatcher/state_purchase_view/67198152" xr:uid="{00000000-0004-0000-0000-000081000000}"/>
    <hyperlink ref="B121" r:id="rId116" display="https://my.zakupivli.pro/remote/dispatcher/state_purchase_view/67196975" xr:uid="{00000000-0004-0000-0000-000082000000}"/>
    <hyperlink ref="B122" r:id="rId117" display="https://my.zakupivli.pro/remote/dispatcher/state_purchase_view/67196183" xr:uid="{00000000-0004-0000-0000-000083000000}"/>
    <hyperlink ref="B123" r:id="rId118" display="https://my.zakupivli.pro/remote/dispatcher/state_purchase_view/67195260" xr:uid="{00000000-0004-0000-0000-000084000000}"/>
    <hyperlink ref="B124" r:id="rId119" display="https://my.zakupivli.pro/remote/dispatcher/state_purchase_view/67193728" xr:uid="{00000000-0004-0000-0000-000085000000}"/>
    <hyperlink ref="B125" r:id="rId120" display="https://my.zakupivli.pro/remote/dispatcher/state_purchase_view/67180965" xr:uid="{00000000-0004-0000-0000-000086000000}"/>
    <hyperlink ref="B126" r:id="rId121" display="https://my.zakupivli.pro/remote/dispatcher/state_purchase_view/67180495" xr:uid="{00000000-0004-0000-0000-000087000000}"/>
    <hyperlink ref="B127" r:id="rId122" display="https://my.zakupivli.pro/remote/dispatcher/state_purchase_view/67178698" xr:uid="{00000000-0004-0000-0000-000088000000}"/>
    <hyperlink ref="B128" r:id="rId123" display="https://my.zakupivli.pro/remote/dispatcher/state_purchase_view/67110983" xr:uid="{00000000-0004-0000-0000-000089000000}"/>
    <hyperlink ref="B129" r:id="rId124" display="https://my.zakupivli.pro/remote/dispatcher/state_purchase_view/67110439" xr:uid="{00000000-0004-0000-0000-00008A000000}"/>
    <hyperlink ref="B130" r:id="rId125" display="https://my.zakupivli.pro/remote/dispatcher/state_purchase_view/67109273" xr:uid="{00000000-0004-0000-0000-00008B000000}"/>
    <hyperlink ref="B131" r:id="rId126" display="https://my.zakupivli.pro/remote/dispatcher/state_purchase_view/67069518" xr:uid="{00000000-0004-0000-0000-00008C000000}"/>
    <hyperlink ref="B132" r:id="rId127" display="https://my.zakupivli.pro/remote/dispatcher/state_purchase_view/67048454" xr:uid="{00000000-0004-0000-0000-00008D000000}"/>
    <hyperlink ref="B133" r:id="rId128" display="https://my.zakupivli.pro/remote/dispatcher/state_purchase_view/67014163" xr:uid="{00000000-0004-0000-0000-00008E000000}"/>
    <hyperlink ref="B134" r:id="rId129" display="https://my.zakupivli.pro/remote/dispatcher/state_purchase_view/67013604" xr:uid="{00000000-0004-0000-0000-00008F000000}"/>
    <hyperlink ref="B135" r:id="rId130" display="https://my.zakupivli.pro/remote/dispatcher/state_purchase_view/67012034" xr:uid="{00000000-0004-0000-0000-000090000000}"/>
    <hyperlink ref="B136" r:id="rId131" display="https://my.zakupivli.pro/remote/dispatcher/state_purchase_view/67010634" xr:uid="{00000000-0004-0000-0000-000091000000}"/>
    <hyperlink ref="B137" r:id="rId132" display="https://my.zakupivli.pro/remote/dispatcher/state_purchase_view/67009408" xr:uid="{00000000-0004-0000-0000-000092000000}"/>
    <hyperlink ref="B138" r:id="rId133" display="https://my.zakupivli.pro/remote/dispatcher/state_purchase_view/67008759" xr:uid="{00000000-0004-0000-0000-000093000000}"/>
    <hyperlink ref="B139" r:id="rId134" display="https://my.zakupivli.pro/remote/dispatcher/state_purchase_view/67008108" xr:uid="{00000000-0004-0000-0000-000094000000}"/>
    <hyperlink ref="B140" r:id="rId135" display="https://my.zakupivli.pro/remote/dispatcher/state_purchase_view/67006777" xr:uid="{00000000-0004-0000-0000-000095000000}"/>
    <hyperlink ref="B141" r:id="rId136" display="https://my.zakupivli.pro/remote/dispatcher/state_purchase_view/67005615" xr:uid="{00000000-0004-0000-0000-000096000000}"/>
    <hyperlink ref="B142" r:id="rId137" display="https://my.zakupivli.pro/remote/dispatcher/state_purchase_view/67004730" xr:uid="{00000000-0004-0000-0000-000097000000}"/>
    <hyperlink ref="B143" r:id="rId138" display="https://my.zakupivli.pro/remote/dispatcher/state_purchase_view/67002951" xr:uid="{00000000-0004-0000-0000-000098000000}"/>
    <hyperlink ref="B144" r:id="rId139" display="https://my.zakupivli.pro/remote/dispatcher/state_purchase_view/67000893" xr:uid="{00000000-0004-0000-0000-000099000000}"/>
    <hyperlink ref="B145" r:id="rId140" display="https://my.zakupivli.pro/remote/dispatcher/state_purchase_view/66999838" xr:uid="{00000000-0004-0000-0000-00009A000000}"/>
    <hyperlink ref="B146" r:id="rId141" display="https://my.zakupivli.pro/remote/dispatcher/state_purchase_view/66998281" xr:uid="{00000000-0004-0000-0000-00009B000000}"/>
    <hyperlink ref="B147" r:id="rId142" display="https://my.zakupivli.pro/remote/dispatcher/state_purchase_view/66998105" xr:uid="{00000000-0004-0000-0000-00009C000000}"/>
    <hyperlink ref="B148" r:id="rId143" display="https://my.zakupivli.pro/remote/dispatcher/state_purchase_view/66997716" xr:uid="{00000000-0004-0000-0000-00009D000000}"/>
    <hyperlink ref="B149" r:id="rId144" display="https://my.zakupivli.pro/remote/dispatcher/state_purchase_view/66996406" xr:uid="{00000000-0004-0000-0000-00009E000000}"/>
    <hyperlink ref="B150" r:id="rId145" display="https://my.zakupivli.pro/remote/dispatcher/state_purchase_view/66995797" xr:uid="{00000000-0004-0000-0000-00009F000000}"/>
    <hyperlink ref="B151" r:id="rId146" display="https://my.zakupivli.pro/remote/dispatcher/state_purchase_view/66876106" xr:uid="{00000000-0004-0000-0000-0000A0000000}"/>
    <hyperlink ref="B152" r:id="rId147" display="https://my.zakupivli.pro/remote/dispatcher/state_purchase_view/66872227" xr:uid="{00000000-0004-0000-0000-0000A2000000}"/>
    <hyperlink ref="B153" r:id="rId148" display="https://my.zakupivli.pro/remote/dispatcher/state_purchase_view/66862594" xr:uid="{00000000-0004-0000-0000-0000A4000000}"/>
    <hyperlink ref="B154" r:id="rId149" display="https://my.zakupivli.pro/remote/dispatcher/state_purchase_view/66850816" xr:uid="{00000000-0004-0000-0000-0000A6000000}"/>
    <hyperlink ref="B155" r:id="rId150" display="https://my.zakupivli.pro/remote/dispatcher/state_purchase_view/66838387" xr:uid="{00000000-0004-0000-0000-0000A8000000}"/>
    <hyperlink ref="B156" r:id="rId151" display="https://my.zakupivli.pro/remote/dispatcher/state_purchase_view/66837857" xr:uid="{00000000-0004-0000-0000-0000A9000000}"/>
    <hyperlink ref="B157" r:id="rId152" display="https://my.zakupivli.pro/remote/dispatcher/state_purchase_view/66836324" xr:uid="{00000000-0004-0000-0000-0000AA000000}"/>
    <hyperlink ref="B158" r:id="rId153" display="https://my.zakupivli.pro/remote/dispatcher/state_purchase_view/66835740" xr:uid="{00000000-0004-0000-0000-0000AB000000}"/>
    <hyperlink ref="B159" r:id="rId154" display="https://my.zakupivli.pro/remote/dispatcher/state_purchase_view/66834966" xr:uid="{00000000-0004-0000-0000-0000AC000000}"/>
    <hyperlink ref="B160" r:id="rId155" display="https://my.zakupivli.pro/remote/dispatcher/state_purchase_view/66834268" xr:uid="{00000000-0004-0000-0000-0000AD000000}"/>
    <hyperlink ref="B161" r:id="rId156" display="https://my.zakupivli.pro/remote/dispatcher/state_purchase_view/66735787" xr:uid="{00000000-0004-0000-0000-0000AE000000}"/>
    <hyperlink ref="B162" r:id="rId157" display="https://my.zakupivli.pro/remote/dispatcher/state_purchase_view/66658715" xr:uid="{00000000-0004-0000-0000-0000AF000000}"/>
    <hyperlink ref="B163" r:id="rId158" display="https://my.zakupivli.pro/remote/dispatcher/state_purchase_view/66655968" xr:uid="{00000000-0004-0000-0000-0000B0000000}"/>
    <hyperlink ref="B164" r:id="rId159" display="https://my.zakupivli.pro/remote/dispatcher/state_purchase_view/66646609" xr:uid="{00000000-0004-0000-0000-0000B1000000}"/>
    <hyperlink ref="B165" r:id="rId160" display="https://my.zakupivli.pro/remote/dispatcher/state_purchase_view/66620171" xr:uid="{00000000-0004-0000-0000-0000B2000000}"/>
    <hyperlink ref="B166" r:id="rId161" display="https://my.zakupivli.pro/remote/dispatcher/state_purchase_view/66619860" xr:uid="{00000000-0004-0000-0000-0000B3000000}"/>
    <hyperlink ref="B167" r:id="rId162" display="https://my.zakupivli.pro/remote/dispatcher/state_purchase_view/66619415" xr:uid="{00000000-0004-0000-0000-0000B4000000}"/>
    <hyperlink ref="B168" r:id="rId163" display="https://my.zakupivli.pro/remote/dispatcher/state_purchase_view/66619089" xr:uid="{00000000-0004-0000-0000-0000B5000000}"/>
    <hyperlink ref="B169" r:id="rId164" display="https://my.zakupivli.pro/remote/dispatcher/state_purchase_view/66591113" xr:uid="{00000000-0004-0000-0000-0000B6000000}"/>
    <hyperlink ref="B170" r:id="rId165" display="https://my.zakupivli.pro/remote/dispatcher/state_purchase_view/66536597" xr:uid="{00000000-0004-0000-0000-0000B9000000}"/>
    <hyperlink ref="B171" r:id="rId166" display="https://my.zakupivli.pro/remote/dispatcher/state_purchase_view/66535793" xr:uid="{00000000-0004-0000-0000-0000BA000000}"/>
    <hyperlink ref="B172" r:id="rId167" display="https://my.zakupivli.pro/remote/dispatcher/state_purchase_view/66531088" xr:uid="{00000000-0004-0000-0000-0000BB000000}"/>
    <hyperlink ref="B173" r:id="rId168" display="https://my.zakupivli.pro/remote/dispatcher/state_purchase_view/66518792" xr:uid="{00000000-0004-0000-0000-0000BC000000}"/>
    <hyperlink ref="B174" r:id="rId169" display="https://my.zakupivli.pro/remote/dispatcher/state_purchase_view/66479701" xr:uid="{00000000-0004-0000-0000-0000BE000000}"/>
    <hyperlink ref="B175" r:id="rId170" display="https://my.zakupivli.pro/remote/dispatcher/state_purchase_view/66479209" xr:uid="{00000000-0004-0000-0000-0000BF000000}"/>
    <hyperlink ref="B176" r:id="rId171" display="https://my.zakupivli.pro/remote/dispatcher/state_purchase_view/66477847" xr:uid="{00000000-0004-0000-0000-0000C0000000}"/>
    <hyperlink ref="B177" r:id="rId172" display="https://my.zakupivli.pro/remote/dispatcher/state_purchase_view/66477129" xr:uid="{00000000-0004-0000-0000-0000C1000000}"/>
    <hyperlink ref="B178" r:id="rId173" display="https://my.zakupivli.pro/remote/dispatcher/state_purchase_view/66476757" xr:uid="{00000000-0004-0000-0000-0000C2000000}"/>
    <hyperlink ref="B179" r:id="rId174" display="https://my.zakupivli.pro/remote/dispatcher/state_purchase_view/66476582" xr:uid="{00000000-0004-0000-0000-0000C3000000}"/>
    <hyperlink ref="B180" r:id="rId175" display="https://my.zakupivli.pro/remote/dispatcher/state_purchase_view/66476246" xr:uid="{00000000-0004-0000-0000-0000C4000000}"/>
    <hyperlink ref="B181" r:id="rId176" display="https://my.zakupivli.pro/remote/dispatcher/state_purchase_view/66475750" xr:uid="{00000000-0004-0000-0000-0000C5000000}"/>
    <hyperlink ref="B182" r:id="rId177" display="https://my.zakupivli.pro/remote/dispatcher/state_purchase_view/66474843" xr:uid="{00000000-0004-0000-0000-0000C6000000}"/>
    <hyperlink ref="B183" r:id="rId178" display="https://my.zakupivli.pro/remote/dispatcher/state_purchase_view/66471945" xr:uid="{00000000-0004-0000-0000-0000C7000000}"/>
    <hyperlink ref="B184" r:id="rId179" display="https://my.zakupivli.pro/remote/dispatcher/state_purchase_view/66446609" xr:uid="{00000000-0004-0000-0000-0000C8000000}"/>
    <hyperlink ref="B185" r:id="rId180" display="https://my.zakupivli.pro/remote/dispatcher/state_purchase_view/66426719" xr:uid="{00000000-0004-0000-0000-0000CA000000}"/>
    <hyperlink ref="B186" r:id="rId181" display="https://my.zakupivli.pro/remote/dispatcher/state_purchase_view/66414721" xr:uid="{00000000-0004-0000-0000-0000CB000000}"/>
    <hyperlink ref="B187" r:id="rId182" display="https://my.zakupivli.pro/remote/dispatcher/state_purchase_view/66408064" xr:uid="{00000000-0004-0000-0000-0000CD000000}"/>
    <hyperlink ref="B188" r:id="rId183" display="https://my.zakupivli.pro/remote/dispatcher/state_purchase_view/66406123" xr:uid="{00000000-0004-0000-0000-0000CF000000}"/>
    <hyperlink ref="B189" r:id="rId184" display="https://my.zakupivli.pro/remote/dispatcher/state_purchase_view/66393070" xr:uid="{00000000-0004-0000-0000-0000D1000000}"/>
    <hyperlink ref="B190" r:id="rId185" display="https://my.zakupivli.pro/remote/dispatcher/state_purchase_view/66392985" xr:uid="{00000000-0004-0000-0000-0000D2000000}"/>
    <hyperlink ref="B191" r:id="rId186" display="https://my.zakupivli.pro/remote/dispatcher/state_purchase_view/66392312" xr:uid="{00000000-0004-0000-0000-0000D4000000}"/>
    <hyperlink ref="B192" r:id="rId187" display="https://my.zakupivli.pro/remote/dispatcher/state_purchase_view/66387660" xr:uid="{00000000-0004-0000-0000-0000D5000000}"/>
    <hyperlink ref="B193" r:id="rId188" display="https://my.zakupivli.pro/remote/dispatcher/state_purchase_view/66366242" xr:uid="{00000000-0004-0000-0000-0000D7000000}"/>
    <hyperlink ref="B194" r:id="rId189" display="https://my.zakupivli.pro/remote/dispatcher/state_purchase_view/66356685" xr:uid="{00000000-0004-0000-0000-0000D8000000}"/>
    <hyperlink ref="B195" r:id="rId190" display="https://my.zakupivli.pro/remote/dispatcher/state_purchase_view/66355990" xr:uid="{00000000-0004-0000-0000-0000D9000000}"/>
    <hyperlink ref="B196" r:id="rId191" display="https://my.zakupivli.pro/remote/dispatcher/state_purchase_view/66281253" xr:uid="{00000000-0004-0000-0000-0000DA000000}"/>
    <hyperlink ref="B197" r:id="rId192" display="https://my.zakupivli.pro/remote/dispatcher/state_purchase_view/66278671" xr:uid="{00000000-0004-0000-0000-0000DB000000}"/>
    <hyperlink ref="B198" r:id="rId193" display="https://my.zakupivli.pro/remote/dispatcher/state_purchase_view/66276063" xr:uid="{00000000-0004-0000-0000-0000DC000000}"/>
    <hyperlink ref="B199" r:id="rId194" display="https://my.zakupivli.pro/remote/dispatcher/state_purchase_view/66270797" xr:uid="{00000000-0004-0000-0000-0000DD000000}"/>
    <hyperlink ref="B200" r:id="rId195" display="https://my.zakupivli.pro/remote/dispatcher/state_purchase_view/66235391" xr:uid="{00000000-0004-0000-0000-0000DE000000}"/>
    <hyperlink ref="B201" r:id="rId196" display="https://my.zakupivli.pro/remote/dispatcher/state_purchase_view/66234874" xr:uid="{00000000-0004-0000-0000-0000DF000000}"/>
    <hyperlink ref="B202" r:id="rId197" display="https://my.zakupivli.pro/remote/dispatcher/state_purchase_view/66231716" xr:uid="{00000000-0004-0000-0000-0000E0000000}"/>
    <hyperlink ref="B203" r:id="rId198" display="https://my.zakupivli.pro/remote/dispatcher/state_purchase_view/66221239" xr:uid="{00000000-0004-0000-0000-0000E1000000}"/>
    <hyperlink ref="B204" r:id="rId199" display="https://my.zakupivli.pro/remote/dispatcher/state_purchase_view/66198859" xr:uid="{00000000-0004-0000-0000-0000E3000000}"/>
    <hyperlink ref="B205" r:id="rId200" display="https://my.zakupivli.pro/remote/dispatcher/state_purchase_view/66184177" xr:uid="{00000000-0004-0000-0000-0000E4000000}"/>
    <hyperlink ref="B206" r:id="rId201" display="https://my.zakupivli.pro/remote/dispatcher/state_purchase_view/66182866" xr:uid="{00000000-0004-0000-0000-0000E5000000}"/>
    <hyperlink ref="B207" r:id="rId202" display="https://my.zakupivli.pro/remote/dispatcher/state_purchase_view/66162808" xr:uid="{00000000-0004-0000-0000-0000E6000000}"/>
    <hyperlink ref="B208" r:id="rId203" display="https://my.zakupivli.pro/remote/dispatcher/state_purchase_view/66160321" xr:uid="{00000000-0004-0000-0000-0000E7000000}"/>
    <hyperlink ref="B209" r:id="rId204" display="https://my.zakupivli.pro/remote/dispatcher/state_purchase_view/66137233" xr:uid="{00000000-0004-0000-0000-0000E8000000}"/>
    <hyperlink ref="B210" r:id="rId205" display="https://my.zakupivli.pro/remote/dispatcher/state_purchase_view/66136247" xr:uid="{00000000-0004-0000-0000-0000EB000000}"/>
    <hyperlink ref="B211" r:id="rId206" display="https://my.zakupivli.pro/remote/dispatcher/state_purchase_view/66127878" xr:uid="{00000000-0004-0000-0000-0000EC000000}"/>
    <hyperlink ref="B212" r:id="rId207" display="https://my.zakupivli.pro/remote/dispatcher/state_purchase_view/66126181" xr:uid="{00000000-0004-0000-0000-0000ED000000}"/>
    <hyperlink ref="B213" r:id="rId208" display="https://my.zakupivli.pro/remote/dispatcher/state_purchase_view/66111833" xr:uid="{00000000-0004-0000-0000-0000EE000000}"/>
    <hyperlink ref="B214" r:id="rId209" display="https://my.zakupivli.pro/remote/dispatcher/state_purchase_view/66110884" xr:uid="{00000000-0004-0000-0000-0000EF000000}"/>
    <hyperlink ref="B215" r:id="rId210" display="https://my.zakupivli.pro/remote/dispatcher/state_purchase_view/66109842" xr:uid="{00000000-0004-0000-0000-0000F0000000}"/>
    <hyperlink ref="B216" r:id="rId211" display="https://my.zakupivli.pro/remote/dispatcher/state_purchase_view/66096297" xr:uid="{00000000-0004-0000-0000-0000F1000000}"/>
    <hyperlink ref="B217" r:id="rId212" display="https://my.zakupivli.pro/remote/dispatcher/state_purchase_view/66077711" xr:uid="{00000000-0004-0000-0000-0000F3000000}"/>
    <hyperlink ref="B218" r:id="rId213" display="https://my.zakupivli.pro/remote/dispatcher/state_purchase_view/66062374" xr:uid="{00000000-0004-0000-0000-0000F4000000}"/>
    <hyperlink ref="B219" r:id="rId214" display="https://my.zakupivli.pro/remote/dispatcher/state_purchase_view/66058896" xr:uid="{00000000-0004-0000-0000-0000F5000000}"/>
    <hyperlink ref="B220" r:id="rId215" display="https://my.zakupivli.pro/remote/dispatcher/state_purchase_view/66056611" xr:uid="{00000000-0004-0000-0000-0000F6000000}"/>
    <hyperlink ref="B221" r:id="rId216" display="https://my.zakupivli.pro/remote/dispatcher/state_purchase_view/66054020" xr:uid="{00000000-0004-0000-0000-0000F7000000}"/>
    <hyperlink ref="B222" r:id="rId217" display="https://my.zakupivli.pro/remote/dispatcher/state_purchase_view/66047847" xr:uid="{00000000-0004-0000-0000-0000F8000000}"/>
    <hyperlink ref="B223" r:id="rId218" display="https://my.zakupivli.pro/remote/dispatcher/state_purchase_view/66032316" xr:uid="{00000000-0004-0000-0000-0000F9000000}"/>
    <hyperlink ref="B224" r:id="rId219" display="https://my.zakupivli.pro/remote/dispatcher/state_purchase_view/66025765" xr:uid="{00000000-0004-0000-0000-0000FA000000}"/>
    <hyperlink ref="B225" r:id="rId220" display="https://my.zakupivli.pro/remote/dispatcher/state_purchase_view/65934908" xr:uid="{00000000-0004-0000-0000-0000FB000000}"/>
    <hyperlink ref="B226" r:id="rId221" display="https://my.zakupivli.pro/remote/dispatcher/state_purchase_view/65934381" xr:uid="{00000000-0004-0000-0000-0000FC000000}"/>
    <hyperlink ref="B227" r:id="rId222" display="https://my.zakupivli.pro/remote/dispatcher/state_purchase_view/65934240" xr:uid="{00000000-0004-0000-0000-0000FD000000}"/>
    <hyperlink ref="B228" r:id="rId223" display="https://my.zakupivli.pro/remote/dispatcher/state_purchase_view/65933998" xr:uid="{00000000-0004-0000-0000-0000FE000000}"/>
    <hyperlink ref="B229" r:id="rId224" display="https://my.zakupivli.pro/remote/dispatcher/state_purchase_view/65925814" xr:uid="{00000000-0004-0000-0000-0000FF000000}"/>
    <hyperlink ref="B230" r:id="rId225" display="https://my.zakupivli.pro/remote/dispatcher/state_purchase_view/65925040" xr:uid="{00000000-0004-0000-0000-000000010000}"/>
    <hyperlink ref="B231" r:id="rId226" display="https://my.zakupivli.pro/remote/dispatcher/state_purchase_view/65924555" xr:uid="{00000000-0004-0000-0000-000001010000}"/>
    <hyperlink ref="B232" r:id="rId227" display="https://my.zakupivli.pro/remote/dispatcher/state_purchase_view/65924404" xr:uid="{00000000-0004-0000-0000-000002010000}"/>
    <hyperlink ref="B233" r:id="rId228" display="https://my.zakupivli.pro/remote/dispatcher/state_purchase_view/65924319" xr:uid="{00000000-0004-0000-0000-000003010000}"/>
    <hyperlink ref="B234" r:id="rId229" display="https://my.zakupivli.pro/remote/dispatcher/state_purchase_view/65923984" xr:uid="{00000000-0004-0000-0000-000005010000}"/>
    <hyperlink ref="B235" r:id="rId230" display="https://my.zakupivli.pro/remote/dispatcher/state_purchase_view/65923689" xr:uid="{00000000-0004-0000-0000-000006010000}"/>
    <hyperlink ref="B236" r:id="rId231" display="https://my.zakupivli.pro/remote/dispatcher/state_purchase_view/65923244" xr:uid="{00000000-0004-0000-0000-000007010000}"/>
    <hyperlink ref="B237" r:id="rId232" display="https://my.zakupivli.pro/remote/dispatcher/state_purchase_view/65921726" xr:uid="{00000000-0004-0000-0000-000008010000}"/>
    <hyperlink ref="B238" r:id="rId233" display="https://my.zakupivli.pro/remote/dispatcher/state_purchase_view/65921346" xr:uid="{00000000-0004-0000-0000-000009010000}"/>
    <hyperlink ref="B239" r:id="rId234" display="https://my.zakupivli.pro/remote/dispatcher/state_purchase_view/65919660" xr:uid="{00000000-0004-0000-0000-00000A010000}"/>
    <hyperlink ref="B240" r:id="rId235" display="https://my.zakupivli.pro/remote/dispatcher/state_purchase_view/65916967" xr:uid="{00000000-0004-0000-0000-00000B010000}"/>
    <hyperlink ref="B241" r:id="rId236" display="https://my.zakupivli.pro/remote/dispatcher/state_purchase_view/65888917" xr:uid="{00000000-0004-0000-0000-00000C010000}"/>
    <hyperlink ref="B242" r:id="rId237" display="https://my.zakupivli.pro/remote/dispatcher/state_purchase_view/65887753" xr:uid="{00000000-0004-0000-0000-00000D010000}"/>
    <hyperlink ref="B243" r:id="rId238" display="https://my.zakupivli.pro/remote/dispatcher/state_purchase_view/65887355" xr:uid="{00000000-0004-0000-0000-00000E010000}"/>
    <hyperlink ref="B244" r:id="rId239" display="https://my.zakupivli.pro/remote/dispatcher/state_purchase_view/65887026" xr:uid="{00000000-0004-0000-0000-00000F010000}"/>
    <hyperlink ref="B245" r:id="rId240" display="https://my.zakupivli.pro/remote/dispatcher/state_purchase_view/65886330" xr:uid="{00000000-0004-0000-0000-000010010000}"/>
    <hyperlink ref="B246" r:id="rId241" display="https://my.zakupivli.pro/remote/dispatcher/state_purchase_view/65885944" xr:uid="{00000000-0004-0000-0000-000011010000}"/>
    <hyperlink ref="B247" r:id="rId242" display="https://my.zakupivli.pro/remote/dispatcher/state_purchase_view/65885481" xr:uid="{00000000-0004-0000-0000-000012010000}"/>
    <hyperlink ref="B248" r:id="rId243" display="https://my.zakupivli.pro/remote/dispatcher/state_purchase_view/65884743" xr:uid="{00000000-0004-0000-0000-000013010000}"/>
    <hyperlink ref="B249" r:id="rId244" display="https://my.zakupivli.pro/remote/dispatcher/state_purchase_view/65884487" xr:uid="{00000000-0004-0000-0000-000014010000}"/>
    <hyperlink ref="B250" r:id="rId245" display="https://my.zakupivli.pro/remote/dispatcher/state_purchase_view/65883799" xr:uid="{00000000-0004-0000-0000-000015010000}"/>
    <hyperlink ref="B251" r:id="rId246" display="https://my.zakupivli.pro/remote/dispatcher/state_purchase_view/65883337" xr:uid="{00000000-0004-0000-0000-000016010000}"/>
    <hyperlink ref="B252" r:id="rId247" display="https://my.zakupivli.pro/remote/dispatcher/state_purchase_view/65852347" xr:uid="{00000000-0004-0000-0000-000017010000}"/>
    <hyperlink ref="B253" r:id="rId248" display="https://my.zakupivli.pro/remote/dispatcher/state_purchase_view/65849301" xr:uid="{00000000-0004-0000-0000-000019010000}"/>
    <hyperlink ref="B254" r:id="rId249" display="https://my.zakupivli.pro/remote/dispatcher/state_purchase_view/65847851" xr:uid="{00000000-0004-0000-0000-00001A010000}"/>
    <hyperlink ref="B255" r:id="rId250" display="https://my.zakupivli.pro/remote/dispatcher/state_purchase_view/65846385" xr:uid="{00000000-0004-0000-0000-00001B010000}"/>
    <hyperlink ref="B256" r:id="rId251" display="https://my.zakupivli.pro/remote/dispatcher/state_purchase_view/65845737" xr:uid="{00000000-0004-0000-0000-00001C010000}"/>
    <hyperlink ref="B257" r:id="rId252" display="https://my.zakupivli.pro/remote/dispatcher/state_purchase_view/65845407" xr:uid="{00000000-0004-0000-0000-00001D010000}"/>
    <hyperlink ref="B258" r:id="rId253" display="https://my.zakupivli.pro/remote/dispatcher/state_purchase_view/65844646" xr:uid="{00000000-0004-0000-0000-00001E010000}"/>
    <hyperlink ref="B259" r:id="rId254" display="https://my.zakupivli.pro/remote/dispatcher/state_purchase_view/65844326" xr:uid="{00000000-0004-0000-0000-00001F010000}"/>
    <hyperlink ref="B260" r:id="rId255" display="https://my.zakupivli.pro/remote/dispatcher/state_purchase_view/65831237" xr:uid="{00000000-0004-0000-0000-000020010000}"/>
    <hyperlink ref="B261" r:id="rId256" display="https://my.zakupivli.pro/remote/dispatcher/state_purchase_view/65829540" xr:uid="{00000000-0004-0000-0000-000021010000}"/>
    <hyperlink ref="B262" r:id="rId257" display="https://my.zakupivli.pro/remote/dispatcher/state_purchase_view/65736377" xr:uid="{00000000-0004-0000-0000-000022010000}"/>
    <hyperlink ref="B263" r:id="rId258" display="https://my.zakupivli.pro/remote/dispatcher/state_purchase_view/65731940" xr:uid="{00000000-0004-0000-0000-000024010000}"/>
    <hyperlink ref="B264" r:id="rId259" display="https://my.zakupivli.pro/remote/dispatcher/state_purchase_view/65731594" xr:uid="{00000000-0004-0000-0000-000025010000}"/>
    <hyperlink ref="B265" r:id="rId260" display="https://my.zakupivli.pro/remote/dispatcher/state_purchase_view/65728099" xr:uid="{00000000-0004-0000-0000-000026010000}"/>
    <hyperlink ref="B266" r:id="rId261" display="https://my.zakupivli.pro/remote/dispatcher/state_purchase_view/65726292" xr:uid="{00000000-0004-0000-0000-000028010000}"/>
    <hyperlink ref="B267" r:id="rId262" display="https://my.zakupivli.pro/remote/dispatcher/state_purchase_view/65684370" xr:uid="{00000000-0004-0000-0000-00002A010000}"/>
    <hyperlink ref="B268" r:id="rId263" display="https://my.zakupivli.pro/remote/dispatcher/state_purchase_view/65683080" xr:uid="{00000000-0004-0000-0000-00002B010000}"/>
    <hyperlink ref="B269" r:id="rId264" display="https://my.zakupivli.pro/remote/dispatcher/state_purchase_view/65674729" xr:uid="{00000000-0004-0000-0000-00002C010000}"/>
    <hyperlink ref="B270" r:id="rId265" display="https://my.zakupivli.pro/remote/dispatcher/state_purchase_view/65672130" xr:uid="{00000000-0004-0000-0000-00002D010000}"/>
    <hyperlink ref="B271" r:id="rId266" display="https://my.zakupivli.pro/remote/dispatcher/state_purchase_view/65647692" xr:uid="{00000000-0004-0000-0000-00002E010000}"/>
    <hyperlink ref="B272" r:id="rId267" display="https://my.zakupivli.pro/remote/dispatcher/state_purchase_view/65646322" xr:uid="{00000000-0004-0000-0000-00002F010000}"/>
    <hyperlink ref="B273" r:id="rId268" display="https://my.zakupivli.pro/remote/dispatcher/state_purchase_view/65645321" xr:uid="{00000000-0004-0000-0000-000030010000}"/>
    <hyperlink ref="B274" r:id="rId269" display="https://my.zakupivli.pro/remote/dispatcher/state_purchase_view/65644524" xr:uid="{00000000-0004-0000-0000-000031010000}"/>
    <hyperlink ref="B275" r:id="rId270" display="https://my.zakupivli.pro/remote/dispatcher/state_purchase_view/65643545" xr:uid="{00000000-0004-0000-0000-000032010000}"/>
    <hyperlink ref="B276" r:id="rId271" display="https://my.zakupivli.pro/remote/dispatcher/state_purchase_view/65640966" xr:uid="{00000000-0004-0000-0000-000033010000}"/>
    <hyperlink ref="B277" r:id="rId272" display="https://my.zakupivli.pro/remote/dispatcher/state_purchase_view/65597809" xr:uid="{00000000-0004-0000-0000-000034010000}"/>
    <hyperlink ref="B278" r:id="rId273" display="https://my.zakupivli.pro/remote/dispatcher/state_purchase_view/65554063" xr:uid="{00000000-0004-0000-0000-000035010000}"/>
    <hyperlink ref="B279" r:id="rId274" display="https://my.zakupivli.pro/remote/dispatcher/state_purchase_view/65551651" xr:uid="{00000000-0004-0000-0000-000036010000}"/>
    <hyperlink ref="B280" r:id="rId275" display="https://my.zakupivli.pro/remote/dispatcher/state_purchase_view/65547845" xr:uid="{00000000-0004-0000-0000-000037010000}"/>
    <hyperlink ref="B281" r:id="rId276" display="https://my.zakupivli.pro/remote/dispatcher/state_purchase_view/65547146" xr:uid="{00000000-0004-0000-0000-000038010000}"/>
    <hyperlink ref="B282" r:id="rId277" display="https://my.zakupivli.pro/remote/dispatcher/state_purchase_view/65532626" xr:uid="{00000000-0004-0000-0000-000039010000}"/>
    <hyperlink ref="B283" r:id="rId278" display="https://my.zakupivli.pro/remote/dispatcher/state_purchase_view/65530021" xr:uid="{00000000-0004-0000-0000-00003A010000}"/>
    <hyperlink ref="B284" r:id="rId279" display="https://my.zakupivli.pro/remote/dispatcher/state_purchase_view/65529377" xr:uid="{00000000-0004-0000-0000-00003B010000}"/>
    <hyperlink ref="B285" r:id="rId280" display="https://my.zakupivli.pro/remote/dispatcher/state_purchase_view/65527791" xr:uid="{00000000-0004-0000-0000-00003C010000}"/>
    <hyperlink ref="B286" r:id="rId281" display="https://my.zakupivli.pro/remote/dispatcher/state_purchase_view/65527083" xr:uid="{00000000-0004-0000-0000-00003D010000}"/>
    <hyperlink ref="B287" r:id="rId282" display="https://my.zakupivli.pro/remote/dispatcher/state_purchase_view/65525190" xr:uid="{00000000-0004-0000-0000-00003E010000}"/>
    <hyperlink ref="B288" r:id="rId283" display="https://my.zakupivli.pro/remote/dispatcher/state_purchase_view/65505754" xr:uid="{00000000-0004-0000-0000-00003F010000}"/>
    <hyperlink ref="B289" r:id="rId284" display="https://my.zakupivli.pro/remote/dispatcher/state_purchase_view/65500531" xr:uid="{00000000-0004-0000-0000-000041010000}"/>
    <hyperlink ref="B290" r:id="rId285" display="https://my.zakupivli.pro/remote/dispatcher/state_purchase_view/65463877" xr:uid="{00000000-0004-0000-0000-000043010000}"/>
    <hyperlink ref="B291" r:id="rId286" display="https://my.zakupivli.pro/remote/dispatcher/state_purchase_view/65462976" xr:uid="{00000000-0004-0000-0000-000044010000}"/>
    <hyperlink ref="B292" r:id="rId287" display="https://my.zakupivli.pro/remote/dispatcher/state_purchase_view/65416386" xr:uid="{00000000-0004-0000-0000-000045010000}"/>
    <hyperlink ref="B293" r:id="rId288" display="https://my.zakupivli.pro/remote/dispatcher/state_purchase_view/65406332" xr:uid="{00000000-0004-0000-0000-000046010000}"/>
    <hyperlink ref="B294" r:id="rId289" display="https://my.zakupivli.pro/remote/dispatcher/state_purchase_view/65395925" xr:uid="{00000000-0004-0000-0000-000049010000}"/>
    <hyperlink ref="B295" r:id="rId290" display="https://my.zakupivli.pro/remote/dispatcher/state_purchase_view/65393731" xr:uid="{00000000-0004-0000-0000-00004A010000}"/>
    <hyperlink ref="B296" r:id="rId291" display="https://my.zakupivli.pro/remote/dispatcher/state_purchase_view/65293851" xr:uid="{00000000-0004-0000-0000-00004B010000}"/>
    <hyperlink ref="B297" r:id="rId292" display="https://my.zakupivli.pro/remote/dispatcher/state_purchase_view/65293402" xr:uid="{00000000-0004-0000-0000-00004C010000}"/>
    <hyperlink ref="B298" r:id="rId293" display="https://my.zakupivli.pro/remote/dispatcher/state_purchase_view/65292736" xr:uid="{00000000-0004-0000-0000-00004D010000}"/>
    <hyperlink ref="B299" r:id="rId294" display="https://my.zakupivli.pro/remote/dispatcher/state_purchase_view/65257144" xr:uid="{00000000-0004-0000-0000-00004E010000}"/>
    <hyperlink ref="B300" r:id="rId295" display="https://my.zakupivli.pro/remote/dispatcher/state_purchase_view/65256802" xr:uid="{00000000-0004-0000-0000-00004F010000}"/>
    <hyperlink ref="B301" r:id="rId296" display="https://my.zakupivli.pro/remote/dispatcher/state_purchase_view/65254209" xr:uid="{00000000-0004-0000-0000-000050010000}"/>
    <hyperlink ref="B302" r:id="rId297" display="https://my.zakupivli.pro/remote/dispatcher/state_purchase_view/65238608" xr:uid="{00000000-0004-0000-0000-000051010000}"/>
    <hyperlink ref="B303" r:id="rId298" display="https://my.zakupivli.pro/remote/dispatcher/state_purchase_view/65192548" xr:uid="{00000000-0004-0000-0000-000052010000}"/>
    <hyperlink ref="B304" r:id="rId299" display="https://my.zakupivli.pro/remote/dispatcher/state_purchase_view/65186824" xr:uid="{00000000-0004-0000-0000-000053010000}"/>
    <hyperlink ref="B305" r:id="rId300" display="https://my.zakupivli.pro/remote/dispatcher/state_purchase_view/65156851" xr:uid="{00000000-0004-0000-0000-000054010000}"/>
    <hyperlink ref="B306" r:id="rId301" display="https://my.zakupivli.pro/remote/dispatcher/state_purchase_view/65156372" xr:uid="{00000000-0004-0000-0000-000055010000}"/>
    <hyperlink ref="B307" r:id="rId302" display="https://my.zakupivli.pro/remote/dispatcher/state_purchase_view/65144264" xr:uid="{00000000-0004-0000-0000-000056010000}"/>
    <hyperlink ref="B308" r:id="rId303" display="https://my.zakupivli.pro/remote/dispatcher/state_purchase_view/65143560" xr:uid="{00000000-0004-0000-0000-000057010000}"/>
    <hyperlink ref="B309" r:id="rId304" display="https://my.zakupivli.pro/remote/dispatcher/state_purchase_view/65142683" xr:uid="{00000000-0004-0000-0000-000058010000}"/>
    <hyperlink ref="B310" r:id="rId305" display="https://my.zakupivli.pro/remote/dispatcher/state_purchase_view/65141758" xr:uid="{00000000-0004-0000-0000-000059010000}"/>
    <hyperlink ref="B311" r:id="rId306" display="https://my.zakupivli.pro/remote/dispatcher/state_purchase_view/65140974" xr:uid="{00000000-0004-0000-0000-00005A010000}"/>
    <hyperlink ref="B312" r:id="rId307" display="https://my.zakupivli.pro/remote/dispatcher/state_purchase_view/65136868" xr:uid="{00000000-0004-0000-0000-00005B010000}"/>
    <hyperlink ref="B313" r:id="rId308" display="https://my.zakupivli.pro/remote/dispatcher/state_purchase_view/65135920" xr:uid="{00000000-0004-0000-0000-00005C010000}"/>
    <hyperlink ref="B314" r:id="rId309" display="https://my.zakupivli.pro/remote/dispatcher/state_purchase_view/65135372" xr:uid="{00000000-0004-0000-0000-00005D010000}"/>
    <hyperlink ref="B315" r:id="rId310" display="https://my.zakupivli.pro/remote/dispatcher/state_purchase_view/65134912" xr:uid="{00000000-0004-0000-0000-00005E010000}"/>
    <hyperlink ref="B316" r:id="rId311" display="https://my.zakupivli.pro/remote/dispatcher/state_purchase_view/65134408" xr:uid="{00000000-0004-0000-0000-00005F010000}"/>
    <hyperlink ref="B317" r:id="rId312" display="https://my.zakupivli.pro/remote/dispatcher/state_purchase_view/65126230" xr:uid="{00000000-0004-0000-0000-000060010000}"/>
    <hyperlink ref="B318" r:id="rId313" display="https://my.zakupivli.pro/remote/dispatcher/state_purchase_view/65125526" xr:uid="{00000000-0004-0000-0000-000061010000}"/>
    <hyperlink ref="B319" r:id="rId314" display="https://my.zakupivli.pro/remote/dispatcher/state_purchase_view/65124472" xr:uid="{00000000-0004-0000-0000-000062010000}"/>
    <hyperlink ref="B320" r:id="rId315" display="https://my.zakupivli.pro/remote/dispatcher/state_purchase_view/65123648" xr:uid="{00000000-0004-0000-0000-000063010000}"/>
    <hyperlink ref="B321" r:id="rId316" display="https://my.zakupivli.pro/remote/dispatcher/state_purchase_view/65123086" xr:uid="{00000000-0004-0000-0000-000064010000}"/>
    <hyperlink ref="B322" r:id="rId317" display="https://my.zakupivli.pro/remote/dispatcher/state_purchase_view/65122350" xr:uid="{00000000-0004-0000-0000-000065010000}"/>
    <hyperlink ref="B323" r:id="rId318" display="https://my.zakupivli.pro/remote/dispatcher/state_purchase_view/65098577" xr:uid="{00000000-0004-0000-0000-000066010000}"/>
    <hyperlink ref="B324" r:id="rId319" display="https://my.zakupivli.pro/remote/dispatcher/state_purchase_view/65098213" xr:uid="{00000000-0004-0000-0000-000067010000}"/>
    <hyperlink ref="B325" r:id="rId320" display="https://my.zakupivli.pro/remote/dispatcher/state_purchase_view/65097338" xr:uid="{00000000-0004-0000-0000-000068010000}"/>
    <hyperlink ref="B326" r:id="rId321" display="https://my.zakupivli.pro/remote/dispatcher/state_purchase_view/65046340" xr:uid="{00000000-0004-0000-0000-000069010000}"/>
    <hyperlink ref="B327" r:id="rId322" display="https://my.zakupivli.pro/remote/dispatcher/state_purchase_view/65041407" xr:uid="{00000000-0004-0000-0000-00006B010000}"/>
    <hyperlink ref="B328" r:id="rId323" display="https://my.zakupivli.pro/remote/dispatcher/state_purchase_view/65041085" xr:uid="{00000000-0004-0000-0000-00006C010000}"/>
    <hyperlink ref="B329" r:id="rId324" display="https://my.zakupivli.pro/remote/dispatcher/state_purchase_view/65013496" xr:uid="{00000000-0004-0000-0000-00006D010000}"/>
    <hyperlink ref="B330" r:id="rId325" display="https://my.zakupivli.pro/remote/dispatcher/state_purchase_view/64968488" xr:uid="{00000000-0004-0000-0000-00006F010000}"/>
    <hyperlink ref="B331" r:id="rId326" display="https://my.zakupivli.pro/remote/dispatcher/state_purchase_view/64930915" xr:uid="{00000000-0004-0000-0000-000070010000}"/>
    <hyperlink ref="B332" r:id="rId327" display="https://my.zakupivli.pro/remote/dispatcher/state_purchase_view/64930444" xr:uid="{00000000-0004-0000-0000-000071010000}"/>
    <hyperlink ref="B333" r:id="rId328" display="https://my.zakupivli.pro/remote/dispatcher/state_purchase_view/64928322" xr:uid="{00000000-0004-0000-0000-000072010000}"/>
    <hyperlink ref="B334" r:id="rId329" display="https://my.zakupivli.pro/remote/dispatcher/state_purchase_view/64899056" xr:uid="{00000000-0004-0000-0000-000073010000}"/>
    <hyperlink ref="B335" r:id="rId330" display="https://my.zakupivli.pro/remote/dispatcher/state_purchase_view/64855459" xr:uid="{00000000-0004-0000-0000-000074010000}"/>
    <hyperlink ref="B336" r:id="rId331" display="https://my.zakupivli.pro/remote/dispatcher/state_purchase_view/64822764" xr:uid="{00000000-0004-0000-0000-000076010000}"/>
    <hyperlink ref="B337" r:id="rId332" display="https://my.zakupivli.pro/remote/dispatcher/state_purchase_view/64790370" xr:uid="{00000000-0004-0000-0000-000077010000}"/>
    <hyperlink ref="B338" r:id="rId333" display="https://my.zakupivli.pro/remote/dispatcher/state_purchase_view/64785706" xr:uid="{00000000-0004-0000-0000-000078010000}"/>
    <hyperlink ref="B339" r:id="rId334" display="https://my.zakupivli.pro/remote/dispatcher/state_purchase_view/64783927" xr:uid="{00000000-0004-0000-0000-000079010000}"/>
    <hyperlink ref="B340" r:id="rId335" display="https://my.zakupivli.pro/remote/dispatcher/state_purchase_view/64726471" xr:uid="{00000000-0004-0000-0000-00007A010000}"/>
    <hyperlink ref="B341" r:id="rId336" display="https://my.zakupivli.pro/remote/dispatcher/state_purchase_view/64672669" xr:uid="{00000000-0004-0000-0000-00007B010000}"/>
    <hyperlink ref="B342" r:id="rId337" display="https://my.zakupivli.pro/remote/dispatcher/state_purchase_view/64610960" xr:uid="{00000000-0004-0000-0000-00007C010000}"/>
    <hyperlink ref="B343" r:id="rId338" display="https://my.zakupivli.pro/remote/dispatcher/state_purchase_view/64609011" xr:uid="{00000000-0004-0000-0000-00007D010000}"/>
    <hyperlink ref="B344" r:id="rId339" display="https://my.zakupivli.pro/remote/dispatcher/state_purchase_view/64607376" xr:uid="{00000000-0004-0000-0000-00007E010000}"/>
    <hyperlink ref="B345" r:id="rId340" display="https://my.zakupivli.pro/remote/dispatcher/state_purchase_view/64570372" xr:uid="{00000000-0004-0000-0000-00007F010000}"/>
    <hyperlink ref="B346" r:id="rId341" display="https://my.zakupivli.pro/remote/dispatcher/state_purchase_view/64518123" xr:uid="{00000000-0004-0000-0000-000080010000}"/>
    <hyperlink ref="B347" r:id="rId342" display="https://my.zakupivli.pro/remote/dispatcher/state_purchase_view/64429365" xr:uid="{00000000-0004-0000-0000-000081010000}"/>
    <hyperlink ref="B348" r:id="rId343" display="https://my.zakupivli.pro/remote/dispatcher/state_purchase_view/64428366" xr:uid="{00000000-0004-0000-0000-000082010000}"/>
    <hyperlink ref="B349" r:id="rId344" display="https://my.zakupivli.pro/remote/dispatcher/state_purchase_view/64375490" xr:uid="{00000000-0004-0000-0000-000083010000}"/>
    <hyperlink ref="B350" r:id="rId345" display="https://my.zakupivli.pro/remote/dispatcher/state_purchase_view/64316939" xr:uid="{00000000-0004-0000-0000-000084010000}"/>
    <hyperlink ref="B351" r:id="rId346" display="https://my.zakupivli.pro/remote/dispatcher/state_purchase_view/64223032" xr:uid="{00000000-0004-0000-0000-000085010000}"/>
    <hyperlink ref="B352" r:id="rId347" display="https://my.zakupivli.pro/remote/dispatcher/state_purchase_view/64221195" xr:uid="{00000000-0004-0000-0000-000087010000}"/>
    <hyperlink ref="B353" r:id="rId348" display="https://my.zakupivli.pro/remote/dispatcher/state_purchase_view/64147616" xr:uid="{00000000-0004-0000-0000-000088010000}"/>
    <hyperlink ref="B354" r:id="rId349" display="https://my.zakupivli.pro/remote/dispatcher/state_purchase_view/64068300" xr:uid="{00000000-0004-0000-0000-000089010000}"/>
    <hyperlink ref="B355" r:id="rId350" display="https://my.zakupivli.pro/remote/dispatcher/state_purchase_view/64066189" xr:uid="{00000000-0004-0000-0000-00008A010000}"/>
    <hyperlink ref="B356" r:id="rId351" display="https://my.zakupivli.pro/remote/dispatcher/state_purchase_view/64063646" xr:uid="{00000000-0004-0000-0000-00008B010000}"/>
    <hyperlink ref="B357" r:id="rId352" display="https://my.zakupivli.pro/remote/dispatcher/state_purchase_view/64061789" xr:uid="{00000000-0004-0000-0000-00008C010000}"/>
    <hyperlink ref="B358" r:id="rId353" display="https://my.zakupivli.pro/remote/dispatcher/state_purchase_view/63972350" xr:uid="{00000000-0004-0000-0000-00008D010000}"/>
    <hyperlink ref="B359" r:id="rId354" display="https://my.zakupivli.pro/remote/dispatcher/state_purchase_view/63925917" xr:uid="{00000000-0004-0000-0000-00008E010000}"/>
    <hyperlink ref="B360" r:id="rId355" display="https://my.zakupivli.pro/remote/dispatcher/state_purchase_view/63844192" xr:uid="{00000000-0004-0000-0000-000090010000}"/>
    <hyperlink ref="B361" r:id="rId356" display="https://my.zakupivli.pro/remote/dispatcher/state_purchase_view/63843086" xr:uid="{00000000-0004-0000-0000-000091010000}"/>
    <hyperlink ref="B362" r:id="rId357" display="https://my.zakupivli.pro/remote/dispatcher/state_purchase_view/63748153" xr:uid="{00000000-0004-0000-0000-000092010000}"/>
    <hyperlink ref="B363" r:id="rId358" display="https://my.zakupivli.pro/remote/dispatcher/state_purchase_view/63647209" xr:uid="{00000000-0004-0000-0000-000093010000}"/>
    <hyperlink ref="B364" r:id="rId359" display="https://my.zakupivli.pro/remote/dispatcher/state_purchase_view/63646400" xr:uid="{00000000-0004-0000-0000-000094010000}"/>
    <hyperlink ref="B365" r:id="rId360" display="https://my.zakupivli.pro/remote/dispatcher/state_purchase_view/63624149" xr:uid="{00000000-0004-0000-0000-000095010000}"/>
    <hyperlink ref="B366" r:id="rId361" display="https://my.zakupivli.pro/remote/dispatcher/state_purchase_view/63623489" xr:uid="{00000000-0004-0000-0000-000096010000}"/>
    <hyperlink ref="B367" r:id="rId362" display="https://my.zakupivli.pro/remote/dispatcher/state_purchase_view/63621350" xr:uid="{00000000-0004-0000-0000-000097010000}"/>
    <hyperlink ref="B368" r:id="rId363" display="https://my.zakupivli.pro/remote/dispatcher/state_purchase_view/63613948" xr:uid="{00000000-0004-0000-0000-000098010000}"/>
    <hyperlink ref="B369" r:id="rId364" display="https://my.zakupivli.pro/remote/dispatcher/state_purchase_view/63606388" xr:uid="{00000000-0004-0000-0000-000099010000}"/>
    <hyperlink ref="B370" r:id="rId365" display="https://my.zakupivli.pro/remote/dispatcher/state_purchase_view/63581314" xr:uid="{00000000-0004-0000-0000-00009A010000}"/>
    <hyperlink ref="B371" r:id="rId366" display="https://my.zakupivli.pro/remote/dispatcher/state_purchase_view/63580719" xr:uid="{00000000-0004-0000-0000-00009B010000}"/>
    <hyperlink ref="B372" r:id="rId367" display="https://my.zakupivli.pro/remote/dispatcher/state_purchase_view/63562309" xr:uid="{00000000-0004-0000-0000-00009C010000}"/>
    <hyperlink ref="B373" r:id="rId368" display="https://my.zakupivli.pro/remote/dispatcher/state_purchase_view/63561485" xr:uid="{00000000-0004-0000-0000-00009D010000}"/>
    <hyperlink ref="B374" r:id="rId369" display="https://my.zakupivli.pro/remote/dispatcher/state_purchase_view/63560615" xr:uid="{00000000-0004-0000-0000-00009E010000}"/>
    <hyperlink ref="B375" r:id="rId370" display="https://my.zakupivli.pro/remote/dispatcher/state_purchase_view/63560081" xr:uid="{00000000-0004-0000-0000-00009F010000}"/>
    <hyperlink ref="B376" r:id="rId371" display="https://my.zakupivli.pro/remote/dispatcher/state_purchase_view/63558883" xr:uid="{00000000-0004-0000-0000-0000A0010000}"/>
    <hyperlink ref="B377" r:id="rId372" display="https://my.zakupivli.pro/remote/dispatcher/state_purchase_view/63380692" xr:uid="{00000000-0004-0000-0000-0000A1010000}"/>
    <hyperlink ref="B378" r:id="rId373" display="https://my.zakupivli.pro/remote/dispatcher/state_purchase_view/63379267" xr:uid="{00000000-0004-0000-0000-0000A2010000}"/>
    <hyperlink ref="B379" r:id="rId374" display="https://my.zakupivli.pro/remote/dispatcher/state_purchase_view/63273489" xr:uid="{00000000-0004-0000-0000-0000A3010000}"/>
    <hyperlink ref="B380" r:id="rId375" display="https://my.zakupivli.pro/remote/dispatcher/state_purchase_view/63272371" xr:uid="{00000000-0004-0000-0000-0000A4010000}"/>
    <hyperlink ref="B381" r:id="rId376" display="https://my.zakupivli.pro/remote/dispatcher/state_purchase_view/63268813" xr:uid="{00000000-0004-0000-0000-0000A5010000}"/>
    <hyperlink ref="B382" r:id="rId377" display="https://my.zakupivli.pro/remote/dispatcher/state_purchase_view/63240868" xr:uid="{00000000-0004-0000-0000-0000A6010000}"/>
    <hyperlink ref="B383" r:id="rId378" display="https://my.zakupivli.pro/remote/dispatcher/state_purchase_view/63239900" xr:uid="{00000000-0004-0000-0000-0000A8010000}"/>
    <hyperlink ref="B384" r:id="rId379" display="https://my.zakupivli.pro/remote/dispatcher/state_purchase_view/63238956" xr:uid="{00000000-0004-0000-0000-0000AA010000}"/>
    <hyperlink ref="B385" r:id="rId380" display="https://my.zakupivli.pro/remote/dispatcher/state_purchase_view/63233561" xr:uid="{00000000-0004-0000-0000-0000AC010000}"/>
    <hyperlink ref="B386" r:id="rId381" display="https://my.zakupivli.pro/remote/dispatcher/state_purchase_view/63232505" xr:uid="{00000000-0004-0000-0000-0000AD010000}"/>
    <hyperlink ref="B387" r:id="rId382" display="https://my.zakupivli.pro/remote/dispatcher/state_purchase_view/63188860" xr:uid="{00000000-0004-0000-0000-0000AE010000}"/>
    <hyperlink ref="B388" r:id="rId383" display="https://my.zakupivli.pro/remote/dispatcher/state_purchase_view/63110802" xr:uid="{00000000-0004-0000-0000-0000AF010000}"/>
    <hyperlink ref="B389" r:id="rId384" display="https://my.zakupivli.pro/remote/dispatcher/state_purchase_view/63110393" xr:uid="{00000000-0004-0000-0000-0000B0010000}"/>
    <hyperlink ref="B390" r:id="rId385" display="https://my.zakupivli.pro/remote/dispatcher/state_purchase_view/63109785" xr:uid="{00000000-0004-0000-0000-0000B1010000}"/>
    <hyperlink ref="B391" r:id="rId386" display="https://my.zakupivli.pro/remote/dispatcher/state_purchase_view/63098885" xr:uid="{00000000-0004-0000-0000-0000B2010000}"/>
    <hyperlink ref="B392" r:id="rId387" display="https://my.zakupivli.pro/remote/dispatcher/state_purchase_view/63094461" xr:uid="{00000000-0004-0000-0000-0000B4010000}"/>
    <hyperlink ref="B393" r:id="rId388" display="https://my.zakupivli.pro/remote/dispatcher/state_purchase_view/63093194" xr:uid="{00000000-0004-0000-0000-0000B5010000}"/>
    <hyperlink ref="B394" r:id="rId389" display="https://my.zakupivli.pro/remote/dispatcher/state_purchase_view/63092581" xr:uid="{00000000-0004-0000-0000-0000B6010000}"/>
    <hyperlink ref="B395" r:id="rId390" display="https://my.zakupivli.pro/remote/dispatcher/state_purchase_view/63090936" xr:uid="{00000000-0004-0000-0000-0000B7010000}"/>
    <hyperlink ref="B396" r:id="rId391" display="https://my.zakupivli.pro/remote/dispatcher/state_purchase_view/63090348" xr:uid="{00000000-0004-0000-0000-0000B8010000}"/>
    <hyperlink ref="B397" r:id="rId392" display="https://my.zakupivli.pro/remote/dispatcher/state_purchase_view/63070592" xr:uid="{00000000-0004-0000-0000-0000B9010000}"/>
    <hyperlink ref="B398" r:id="rId393" display="https://my.zakupivli.pro/remote/dispatcher/state_purchase_view/63035972" xr:uid="{00000000-0004-0000-0000-0000BB010000}"/>
    <hyperlink ref="B399" r:id="rId394" display="https://my.zakupivli.pro/remote/dispatcher/state_purchase_view/63021833" xr:uid="{00000000-0004-0000-0000-0000BD010000}"/>
    <hyperlink ref="B400" r:id="rId395" display="https://my.zakupivli.pro/remote/dispatcher/state_purchase_view/63019665" xr:uid="{00000000-0004-0000-0000-0000BE010000}"/>
    <hyperlink ref="B401" r:id="rId396" display="https://my.zakupivli.pro/remote/dispatcher/state_purchase_view/63011546" xr:uid="{00000000-0004-0000-0000-0000BF010000}"/>
    <hyperlink ref="B402" r:id="rId397" display="https://my.zakupivli.pro/remote/dispatcher/state_purchase_view/62958742" xr:uid="{00000000-0004-0000-0000-0000C0010000}"/>
    <hyperlink ref="B403" r:id="rId398" display="https://my.zakupivli.pro/remote/dispatcher/state_purchase_view/62957391" xr:uid="{00000000-0004-0000-0000-0000C2010000}"/>
    <hyperlink ref="B404" r:id="rId399" display="https://my.zakupivli.pro/remote/dispatcher/state_purchase_view/62954354" xr:uid="{00000000-0004-0000-0000-0000C4010000}"/>
    <hyperlink ref="B405" r:id="rId400" display="https://my.zakupivli.pro/remote/dispatcher/state_purchase_view/62953183" xr:uid="{00000000-0004-0000-0000-0000C5010000}"/>
    <hyperlink ref="B406" r:id="rId401" display="https://my.zakupivli.pro/remote/dispatcher/state_purchase_view/62952526" xr:uid="{00000000-0004-0000-0000-0000C6010000}"/>
    <hyperlink ref="B407" r:id="rId402" display="https://my.zakupivli.pro/remote/dispatcher/state_purchase_view/62951482" xr:uid="{00000000-0004-0000-0000-0000C7010000}"/>
    <hyperlink ref="B408" r:id="rId403" display="https://my.zakupivli.pro/remote/dispatcher/state_purchase_view/62949536" xr:uid="{00000000-0004-0000-0000-0000C8010000}"/>
    <hyperlink ref="B409" r:id="rId404" display="https://my.zakupivli.pro/remote/dispatcher/state_purchase_view/62937497" xr:uid="{00000000-0004-0000-0000-0000CA010000}"/>
    <hyperlink ref="B410" r:id="rId405" display="https://my.zakupivli.pro/remote/dispatcher/state_purchase_view/62936734" xr:uid="{00000000-0004-0000-0000-0000CB010000}"/>
    <hyperlink ref="B411" r:id="rId406" display="https://my.zakupivli.pro/remote/dispatcher/state_purchase_view/62844833" xr:uid="{00000000-0004-0000-0000-0000CC010000}"/>
    <hyperlink ref="B412" r:id="rId407" display="https://my.zakupivli.pro/remote/dispatcher/state_purchase_view/62844363" xr:uid="{00000000-0004-0000-0000-0000CD010000}"/>
    <hyperlink ref="B413" r:id="rId408" display="https://my.zakupivli.pro/remote/dispatcher/state_purchase_view/62834897" xr:uid="{00000000-0004-0000-0000-0000CE010000}"/>
    <hyperlink ref="B414" r:id="rId409" display="https://my.zakupivli.pro/remote/dispatcher/state_purchase_view/62751295" xr:uid="{00000000-0004-0000-0000-0000CF010000}"/>
    <hyperlink ref="B415" r:id="rId410" display="https://my.zakupivli.pro/remote/dispatcher/state_purchase_view/62708123" xr:uid="{00000000-0004-0000-0000-0000D0010000}"/>
    <hyperlink ref="B416" r:id="rId411" display="https://my.zakupivli.pro/remote/dispatcher/state_purchase_view/62671845" xr:uid="{00000000-0004-0000-0000-0000D2010000}"/>
    <hyperlink ref="B417" r:id="rId412" display="https://my.zakupivli.pro/remote/dispatcher/state_purchase_view/62668130" xr:uid="{00000000-0004-0000-0000-0000D3010000}"/>
    <hyperlink ref="B418" r:id="rId413" display="https://my.zakupivli.pro/remote/dispatcher/state_purchase_view/62666604" xr:uid="{00000000-0004-0000-0000-0000D4010000}"/>
    <hyperlink ref="B419" r:id="rId414" display="https://my.zakupivli.pro/remote/dispatcher/state_purchase_view/62664475" xr:uid="{00000000-0004-0000-0000-0000D5010000}"/>
    <hyperlink ref="B420" r:id="rId415" display="https://my.zakupivli.pro/remote/dispatcher/state_purchase_view/62664206" xr:uid="{00000000-0004-0000-0000-0000D6010000}"/>
    <hyperlink ref="B421" r:id="rId416" display="https://my.zakupivli.pro/remote/dispatcher/state_purchase_view/62579067" xr:uid="{00000000-0004-0000-0000-0000D7010000}"/>
    <hyperlink ref="B422" r:id="rId417" display="https://my.zakupivli.pro/remote/dispatcher/state_purchase_view/62573453" xr:uid="{00000000-0004-0000-0000-0000D9010000}"/>
    <hyperlink ref="B423" r:id="rId418" display="https://my.zakupivli.pro/remote/dispatcher/state_purchase_view/62540353" xr:uid="{00000000-0004-0000-0000-0000DC010000}"/>
    <hyperlink ref="B424" r:id="rId419" display="https://my.zakupivli.pro/remote/dispatcher/state_purchase_view/62539267" xr:uid="{00000000-0004-0000-0000-0000DD010000}"/>
    <hyperlink ref="B425" r:id="rId420" display="https://my.zakupivli.pro/remote/dispatcher/state_purchase_view/62537644" xr:uid="{00000000-0004-0000-0000-0000DE010000}"/>
    <hyperlink ref="B426" r:id="rId421" display="https://my.zakupivli.pro/remote/dispatcher/state_purchase_view/62530198" xr:uid="{00000000-0004-0000-0000-0000DF010000}"/>
    <hyperlink ref="B427" r:id="rId422" display="https://my.zakupivli.pro/remote/dispatcher/state_purchase_view/62527321" xr:uid="{00000000-0004-0000-0000-0000E0010000}"/>
    <hyperlink ref="B428" r:id="rId423" display="https://my.zakupivli.pro/remote/dispatcher/state_purchase_view/62525980" xr:uid="{00000000-0004-0000-0000-0000E1010000}"/>
    <hyperlink ref="B429" r:id="rId424" display="https://my.zakupivli.pro/remote/dispatcher/state_purchase_view/62493320" xr:uid="{00000000-0004-0000-0000-0000E2010000}"/>
    <hyperlink ref="B430" r:id="rId425" display="https://my.zakupivli.pro/remote/dispatcher/state_purchase_view/62491404" xr:uid="{00000000-0004-0000-0000-0000E3010000}"/>
    <hyperlink ref="B431" r:id="rId426" display="https://my.zakupivli.pro/remote/dispatcher/state_purchase_view/62474246" xr:uid="{00000000-0004-0000-0000-0000E4010000}"/>
    <hyperlink ref="B432" r:id="rId427" display="https://my.zakupivli.pro/remote/dispatcher/state_purchase_view/62470090" xr:uid="{00000000-0004-0000-0000-0000E6010000}"/>
    <hyperlink ref="B433" r:id="rId428" display="https://my.zakupivli.pro/remote/dispatcher/state_purchase_view/62469166" xr:uid="{00000000-0004-0000-0000-0000E7010000}"/>
    <hyperlink ref="B434" r:id="rId429" display="https://my.zakupivli.pro/remote/dispatcher/state_purchase_view/62460527" xr:uid="{00000000-0004-0000-0000-0000E8010000}"/>
    <hyperlink ref="B435" r:id="rId430" display="https://my.zakupivli.pro/remote/dispatcher/state_purchase_view/62459324" xr:uid="{00000000-0004-0000-0000-0000E9010000}"/>
    <hyperlink ref="B436" r:id="rId431" display="https://my.zakupivli.pro/remote/dispatcher/state_purchase_view/62458397" xr:uid="{00000000-0004-0000-0000-0000EA010000}"/>
    <hyperlink ref="B437" r:id="rId432" display="https://my.zakupivli.pro/remote/dispatcher/state_purchase_view/62453637" xr:uid="{00000000-0004-0000-0000-0000EB010000}"/>
    <hyperlink ref="B438" r:id="rId433" display="https://my.zakupivli.pro/remote/dispatcher/state_purchase_view/62451274" xr:uid="{00000000-0004-0000-0000-0000EC010000}"/>
    <hyperlink ref="B439" r:id="rId434" display="https://my.zakupivli.pro/remote/dispatcher/state_purchase_view/62449540" xr:uid="{00000000-0004-0000-0000-0000ED010000}"/>
    <hyperlink ref="B440" r:id="rId435" display="https://my.zakupivli.pro/remote/dispatcher/state_purchase_view/62349370" xr:uid="{00000000-0004-0000-0000-0000EE010000}"/>
    <hyperlink ref="B441" r:id="rId436" display="https://my.zakupivli.pro/remote/dispatcher/state_purchase_view/62346546" xr:uid="{00000000-0004-0000-0000-0000F0010000}"/>
    <hyperlink ref="B442" r:id="rId437" display="https://my.zakupivli.pro/remote/dispatcher/state_purchase_view/62343717" xr:uid="{00000000-0004-0000-0000-0000F1010000}"/>
    <hyperlink ref="B443" r:id="rId438" display="https://my.zakupivli.pro/remote/dispatcher/state_purchase_view/62342576" xr:uid="{00000000-0004-0000-0000-0000F2010000}"/>
    <hyperlink ref="B444" r:id="rId439" display="https://my.zakupivli.pro/remote/dispatcher/state_purchase_view/62341966" xr:uid="{00000000-0004-0000-0000-0000F3010000}"/>
    <hyperlink ref="B445" r:id="rId440" display="https://my.zakupivli.pro/remote/dispatcher/state_purchase_view/62340067" xr:uid="{00000000-0004-0000-0000-0000F4010000}"/>
    <hyperlink ref="B446" r:id="rId441" display="https://my.zakupivli.pro/remote/dispatcher/state_purchase_view/62339365" xr:uid="{00000000-0004-0000-0000-0000F5010000}"/>
    <hyperlink ref="B447" r:id="rId442" display="https://my.zakupivli.pro/remote/dispatcher/state_purchase_view/62315827" xr:uid="{00000000-0004-0000-0000-0000F6010000}"/>
    <hyperlink ref="B448" r:id="rId443" display="https://my.zakupivli.pro/remote/dispatcher/state_purchase_view/62226399" xr:uid="{00000000-0004-0000-0000-0000F7010000}"/>
    <hyperlink ref="B449" r:id="rId444" display="https://my.zakupivli.pro/remote/dispatcher/state_purchase_view/62195810" xr:uid="{00000000-0004-0000-0000-0000F8010000}"/>
    <hyperlink ref="B450" r:id="rId445" display="https://my.zakupivli.pro/remote/dispatcher/state_purchase_view/62177982" xr:uid="{00000000-0004-0000-0000-0000F9010000}"/>
    <hyperlink ref="B451" r:id="rId446" display="https://my.zakupivli.pro/remote/dispatcher/state_purchase_view/62176082" xr:uid="{00000000-0004-0000-0000-0000FA010000}"/>
    <hyperlink ref="B452" r:id="rId447" display="https://my.zakupivli.pro/remote/dispatcher/state_purchase_view/62174141" xr:uid="{00000000-0004-0000-0000-0000FB010000}"/>
    <hyperlink ref="B453" r:id="rId448" display="https://my.zakupivli.pro/remote/dispatcher/state_purchase_view/62173338" xr:uid="{00000000-0004-0000-0000-0000FC010000}"/>
    <hyperlink ref="B454" r:id="rId449" display="https://my.zakupivli.pro/remote/dispatcher/state_purchase_view/62150838" xr:uid="{00000000-0004-0000-0000-0000FD010000}"/>
    <hyperlink ref="B455" r:id="rId450" display="https://my.zakupivli.pro/remote/dispatcher/state_purchase_view/62142798" xr:uid="{00000000-0004-0000-0000-0000FE010000}"/>
    <hyperlink ref="B456" r:id="rId451" display="https://my.zakupivli.pro/remote/dispatcher/state_purchase_view/62119566" xr:uid="{00000000-0004-0000-0000-0000FF010000}"/>
    <hyperlink ref="B457" r:id="rId452" display="https://my.zakupivli.pro/remote/dispatcher/state_purchase_view/62118896" xr:uid="{00000000-0004-0000-0000-000000020000}"/>
    <hyperlink ref="B458" r:id="rId453" display="https://my.zakupivli.pro/remote/dispatcher/state_purchase_view/62117713" xr:uid="{00000000-0004-0000-0000-000001020000}"/>
    <hyperlink ref="B459" r:id="rId454" display="https://my.zakupivli.pro/remote/dispatcher/state_purchase_view/62116738" xr:uid="{00000000-0004-0000-0000-000002020000}"/>
    <hyperlink ref="B460" r:id="rId455" display="https://my.zakupivli.pro/remote/dispatcher/state_purchase_view/62090777" xr:uid="{00000000-0004-0000-0000-000003020000}"/>
    <hyperlink ref="B461" r:id="rId456" display="https://my.zakupivli.pro/remote/dispatcher/state_purchase_view/62088665" xr:uid="{00000000-0004-0000-0000-000004020000}"/>
    <hyperlink ref="B462" r:id="rId457" display="https://my.zakupivli.pro/remote/dispatcher/state_purchase_view/62088592" xr:uid="{00000000-0004-0000-0000-000005020000}"/>
    <hyperlink ref="B463" r:id="rId458" display="https://my.zakupivli.pro/remote/dispatcher/state_purchase_view/62086595" xr:uid="{00000000-0004-0000-0000-000006020000}"/>
    <hyperlink ref="B464" r:id="rId459" display="https://my.zakupivli.pro/remote/dispatcher/state_purchase_view/62085905" xr:uid="{00000000-0004-0000-0000-000007020000}"/>
    <hyperlink ref="B465" r:id="rId460" display="https://my.zakupivli.pro/remote/dispatcher/state_purchase_view/62083741" xr:uid="{00000000-0004-0000-0000-000008020000}"/>
    <hyperlink ref="B466" r:id="rId461" display="https://my.zakupivli.pro/remote/dispatcher/state_purchase_view/62082816" xr:uid="{00000000-0004-0000-0000-000009020000}"/>
    <hyperlink ref="B467" r:id="rId462" display="https://my.zakupivli.pro/remote/dispatcher/state_purchase_view/62082314" xr:uid="{00000000-0004-0000-0000-00000A020000}"/>
    <hyperlink ref="B468" r:id="rId463" display="https://my.zakupivli.pro/remote/dispatcher/state_purchase_view/62081650" xr:uid="{00000000-0004-0000-0000-00000B020000}"/>
    <hyperlink ref="B469" r:id="rId464" display="https://my.zakupivli.pro/remote/dispatcher/state_purchase_view/62075603" xr:uid="{00000000-0004-0000-0000-00000C020000}"/>
    <hyperlink ref="B470" r:id="rId465" display="https://my.zakupivli.pro/remote/dispatcher/state_purchase_view/62074223" xr:uid="{00000000-0004-0000-0000-00000D020000}"/>
    <hyperlink ref="B471" r:id="rId466" display="https://my.zakupivli.pro/remote/dispatcher/state_purchase_view/62073532" xr:uid="{00000000-0004-0000-0000-00000E020000}"/>
    <hyperlink ref="B472" r:id="rId467" display="https://my.zakupivli.pro/remote/dispatcher/state_purchase_view/62072693" xr:uid="{00000000-0004-0000-0000-00000F020000}"/>
    <hyperlink ref="B473" r:id="rId468" display="https://my.zakupivli.pro/remote/dispatcher/state_purchase_view/62071637" xr:uid="{00000000-0004-0000-0000-000010020000}"/>
    <hyperlink ref="B474" r:id="rId469" display="https://my.zakupivli.pro/remote/dispatcher/state_purchase_view/62039724" xr:uid="{00000000-0004-0000-0000-000011020000}"/>
    <hyperlink ref="B475" r:id="rId470" display="https://my.zakupivli.pro/remote/dispatcher/state_purchase_view/61963720" xr:uid="{00000000-0004-0000-0000-000012020000}"/>
    <hyperlink ref="B476" r:id="rId471" display="https://my.zakupivli.pro/remote/dispatcher/state_purchase_view/61963237" xr:uid="{00000000-0004-0000-0000-000013020000}"/>
    <hyperlink ref="B477" r:id="rId472" display="https://my.zakupivli.pro/remote/dispatcher/state_purchase_view/61954940" xr:uid="{00000000-0004-0000-0000-000014020000}"/>
    <hyperlink ref="B478" r:id="rId473" display="https://my.zakupivli.pro/remote/dispatcher/state_purchase_view/61936242" xr:uid="{00000000-0004-0000-0000-000015020000}"/>
    <hyperlink ref="B479" r:id="rId474" display="https://my.zakupivli.pro/remote/dispatcher/state_purchase_view/61934844" xr:uid="{00000000-0004-0000-0000-000016020000}"/>
    <hyperlink ref="B480" r:id="rId475" display="https://my.zakupivli.pro/remote/dispatcher/state_purchase_view/61934051" xr:uid="{00000000-0004-0000-0000-000017020000}"/>
    <hyperlink ref="B481" r:id="rId476" display="https://my.zakupivli.pro/remote/dispatcher/state_purchase_view/61933224" xr:uid="{00000000-0004-0000-0000-000018020000}"/>
    <hyperlink ref="B482" r:id="rId477" display="https://my.zakupivli.pro/remote/dispatcher/state_purchase_view/61931609" xr:uid="{00000000-0004-0000-0000-000019020000}"/>
    <hyperlink ref="B483" r:id="rId478" display="https://my.zakupivli.pro/remote/dispatcher/state_purchase_view/61930737" xr:uid="{00000000-0004-0000-0000-00001A020000}"/>
    <hyperlink ref="B484" r:id="rId479" display="https://my.zakupivli.pro/remote/dispatcher/state_purchase_view/61930011" xr:uid="{00000000-0004-0000-0000-00001B020000}"/>
    <hyperlink ref="B485" r:id="rId480" display="https://my.zakupivli.pro/remote/dispatcher/state_purchase_view/61929423" xr:uid="{00000000-0004-0000-0000-00001C020000}"/>
    <hyperlink ref="B486" r:id="rId481" display="https://my.zakupivli.pro/remote/dispatcher/state_purchase_view/61928879" xr:uid="{00000000-0004-0000-0000-00001D020000}"/>
    <hyperlink ref="B487" r:id="rId482" display="https://my.zakupivli.pro/remote/dispatcher/state_purchase_view/61858665" xr:uid="{00000000-0004-0000-0000-00001E020000}"/>
    <hyperlink ref="B488" r:id="rId483" display="https://my.zakupivli.pro/remote/dispatcher/state_purchase_view/61808353" xr:uid="{00000000-0004-0000-0000-000020020000}"/>
    <hyperlink ref="B489" r:id="rId484" display="https://my.zakupivli.pro/remote/dispatcher/state_purchase_view/61806246" xr:uid="{00000000-0004-0000-0000-000021020000}"/>
    <hyperlink ref="B490" r:id="rId485" display="https://my.zakupivli.pro/remote/dispatcher/state_purchase_view/61770504" xr:uid="{00000000-0004-0000-0000-000022020000}"/>
    <hyperlink ref="B491" r:id="rId486" display="https://my.zakupivli.pro/remote/dispatcher/state_purchase_view/61768839" xr:uid="{00000000-0004-0000-0000-000023020000}"/>
    <hyperlink ref="B492" r:id="rId487" display="https://my.zakupivli.pro/remote/dispatcher/state_purchase_view/61768059" xr:uid="{00000000-0004-0000-0000-000024020000}"/>
    <hyperlink ref="B493" r:id="rId488" display="https://my.zakupivli.pro/remote/dispatcher/state_purchase_view/61757170" xr:uid="{00000000-0004-0000-0000-000025020000}"/>
    <hyperlink ref="B494" r:id="rId489" display="https://my.zakupivli.pro/remote/dispatcher/state_purchase_view/61756185" xr:uid="{00000000-0004-0000-0000-000026020000}"/>
    <hyperlink ref="B495" r:id="rId490" display="https://my.zakupivli.pro/remote/dispatcher/state_purchase_view/61726766" xr:uid="{00000000-0004-0000-0000-000027020000}"/>
    <hyperlink ref="B496" r:id="rId491" display="https://my.zakupivli.pro/remote/dispatcher/state_purchase_view/61726304" xr:uid="{00000000-0004-0000-0000-000028020000}"/>
    <hyperlink ref="B497" r:id="rId492" display="https://my.zakupivli.pro/remote/dispatcher/state_purchase_view/61724614" xr:uid="{00000000-0004-0000-0000-000029020000}"/>
    <hyperlink ref="B498" r:id="rId493" display="https://my.zakupivli.pro/remote/dispatcher/state_purchase_view/61722206" xr:uid="{00000000-0004-0000-0000-00002A020000}"/>
    <hyperlink ref="B499" r:id="rId494" display="https://my.zakupivli.pro/remote/dispatcher/state_purchase_view/61714092" xr:uid="{00000000-0004-0000-0000-00002B020000}"/>
    <hyperlink ref="B500" r:id="rId495" display="https://my.zakupivli.pro/remote/dispatcher/state_purchase_view/61712091" xr:uid="{00000000-0004-0000-0000-00002C020000}"/>
    <hyperlink ref="B501" r:id="rId496" display="https://my.zakupivli.pro/remote/dispatcher/state_purchase_view/61690764" xr:uid="{00000000-0004-0000-0000-00002D020000}"/>
    <hyperlink ref="B502" r:id="rId497" display="https://my.zakupivli.pro/remote/dispatcher/state_purchase_view/61679018" xr:uid="{00000000-0004-0000-0000-00002F020000}"/>
    <hyperlink ref="B503" r:id="rId498" display="https://my.zakupivli.pro/remote/dispatcher/state_purchase_view/61674797" xr:uid="{00000000-0004-0000-0000-000030020000}"/>
    <hyperlink ref="B504" r:id="rId499" display="https://my.zakupivli.pro/remote/dispatcher/state_purchase_view/61662975" xr:uid="{00000000-0004-0000-0000-000031020000}"/>
    <hyperlink ref="B505" r:id="rId500" display="https://my.zakupivli.pro/remote/dispatcher/state_purchase_view/61662139" xr:uid="{00000000-0004-0000-0000-000032020000}"/>
    <hyperlink ref="B506" r:id="rId501" display="https://my.zakupivli.pro/remote/dispatcher/state_purchase_view/61660778" xr:uid="{00000000-0004-0000-0000-000033020000}"/>
    <hyperlink ref="B507" r:id="rId502" display="https://my.zakupivli.pro/remote/dispatcher/state_purchase_view/61652645" xr:uid="{00000000-0004-0000-0000-000034020000}"/>
    <hyperlink ref="B508" r:id="rId503" display="https://my.zakupivli.pro/remote/dispatcher/state_purchase_view/61647790" xr:uid="{00000000-0004-0000-0000-000035020000}"/>
    <hyperlink ref="B509" r:id="rId504" display="https://my.zakupivli.pro/remote/dispatcher/state_purchase_view/61617357" xr:uid="{00000000-0004-0000-0000-000036020000}"/>
    <hyperlink ref="B510" r:id="rId505" display="https://my.zakupivli.pro/remote/dispatcher/state_purchase_view/61608582" xr:uid="{00000000-0004-0000-0000-000037020000}"/>
    <hyperlink ref="B511" r:id="rId506" display="https://my.zakupivli.pro/remote/dispatcher/state_purchase_view/61563380" xr:uid="{00000000-0004-0000-0000-000038020000}"/>
    <hyperlink ref="B512" r:id="rId507" display="https://my.zakupivli.pro/remote/dispatcher/state_purchase_view/61551082" xr:uid="{00000000-0004-0000-0000-00003A020000}"/>
    <hyperlink ref="B513" r:id="rId508" display="https://my.zakupivli.pro/remote/dispatcher/state_purchase_view/61508646" xr:uid="{00000000-0004-0000-0000-00003B020000}"/>
    <hyperlink ref="B514" r:id="rId509" display="https://my.zakupivli.pro/remote/dispatcher/state_purchase_view/61501156" xr:uid="{00000000-0004-0000-0000-00003C020000}"/>
    <hyperlink ref="B515" r:id="rId510" display="https://my.zakupivli.pro/remote/dispatcher/state_purchase_view/61471835" xr:uid="{00000000-0004-0000-0000-00003E020000}"/>
    <hyperlink ref="B516" r:id="rId511" display="https://my.zakupivli.pro/remote/dispatcher/state_purchase_view/61466847" xr:uid="{00000000-0004-0000-0000-000040020000}"/>
    <hyperlink ref="B517" r:id="rId512" display="https://my.zakupivli.pro/remote/dispatcher/state_purchase_view/61460766" xr:uid="{00000000-0004-0000-0000-000041020000}"/>
    <hyperlink ref="B518" r:id="rId513" display="https://my.zakupivli.pro/remote/dispatcher/state_purchase_view/61456850" xr:uid="{00000000-0004-0000-0000-000043020000}"/>
    <hyperlink ref="B519" r:id="rId514" display="https://my.zakupivli.pro/remote/dispatcher/state_purchase_view/61455661" xr:uid="{00000000-0004-0000-0000-000044020000}"/>
    <hyperlink ref="B520" r:id="rId515" display="https://my.zakupivli.pro/remote/dispatcher/state_purchase_view/61415956" xr:uid="{00000000-0004-0000-0000-000045020000}"/>
    <hyperlink ref="B521" r:id="rId516" display="https://my.zakupivli.pro/remote/dispatcher/state_purchase_view/61397118" xr:uid="{00000000-0004-0000-0000-000047020000}"/>
    <hyperlink ref="B522" r:id="rId517" display="https://my.zakupivli.pro/remote/dispatcher/state_purchase_view/61357503" xr:uid="{00000000-0004-0000-0000-000048020000}"/>
    <hyperlink ref="B523" r:id="rId518" display="https://my.zakupivli.pro/remote/dispatcher/state_purchase_view/61357034" xr:uid="{00000000-0004-0000-0000-000049020000}"/>
    <hyperlink ref="B524" r:id="rId519" display="https://my.zakupivli.pro/remote/dispatcher/state_purchase_view/61351660" xr:uid="{00000000-0004-0000-0000-00004A020000}"/>
    <hyperlink ref="B525" r:id="rId520" display="https://my.zakupivli.pro/remote/dispatcher/state_purchase_view/61343915" xr:uid="{00000000-0004-0000-0000-00004B020000}"/>
    <hyperlink ref="B526" r:id="rId521" display="https://my.zakupivli.pro/remote/dispatcher/state_purchase_view/61329960" xr:uid="{00000000-0004-0000-0000-00004C020000}"/>
    <hyperlink ref="B527" r:id="rId522" display="https://my.zakupivli.pro/remote/dispatcher/state_purchase_view/61315361" xr:uid="{00000000-0004-0000-0000-00004D020000}"/>
    <hyperlink ref="B528" r:id="rId523" display="https://my.zakupivli.pro/remote/dispatcher/state_purchase_view/61313606" xr:uid="{00000000-0004-0000-0000-00004E020000}"/>
    <hyperlink ref="B529" r:id="rId524" display="https://my.zakupivli.pro/remote/dispatcher/state_purchase_view/61313410" xr:uid="{00000000-0004-0000-0000-00004F020000}"/>
    <hyperlink ref="B530" r:id="rId525" display="https://my.zakupivli.pro/remote/dispatcher/state_purchase_view/61311757" xr:uid="{00000000-0004-0000-0000-000050020000}"/>
    <hyperlink ref="B531" r:id="rId526" display="https://my.zakupivli.pro/remote/dispatcher/state_purchase_view/61256313" xr:uid="{00000000-0004-0000-0000-000051020000}"/>
    <hyperlink ref="B532" r:id="rId527" display="https://my.zakupivli.pro/remote/dispatcher/state_purchase_view/61237675" xr:uid="{00000000-0004-0000-0000-000052020000}"/>
    <hyperlink ref="B533" r:id="rId528" display="https://my.zakupivli.pro/remote/dispatcher/state_purchase_view/61237187" xr:uid="{00000000-0004-0000-0000-000053020000}"/>
    <hyperlink ref="B534" r:id="rId529" display="https://my.zakupivli.pro/remote/dispatcher/state_purchase_view/61220626" xr:uid="{00000000-0004-0000-0000-000054020000}"/>
    <hyperlink ref="B535" r:id="rId530" display="https://my.zakupivli.pro/remote/dispatcher/state_purchase_view/61213257" xr:uid="{00000000-0004-0000-0000-000056020000}"/>
    <hyperlink ref="B536" r:id="rId531" display="https://my.zakupivli.pro/remote/dispatcher/state_purchase_view/61186205" xr:uid="{00000000-0004-0000-0000-000057020000}"/>
    <hyperlink ref="B537" r:id="rId532" display="https://my.zakupivli.pro/remote/dispatcher/state_purchase_view/61184655" xr:uid="{00000000-0004-0000-0000-000058020000}"/>
    <hyperlink ref="B538" r:id="rId533" display="https://my.zakupivli.pro/remote/dispatcher/state_purchase_view/61178050" xr:uid="{00000000-0004-0000-0000-000059020000}"/>
    <hyperlink ref="B539" r:id="rId534" display="https://my.zakupivli.pro/remote/dispatcher/state_purchase_view/61176509" xr:uid="{00000000-0004-0000-0000-00005A020000}"/>
    <hyperlink ref="B540" r:id="rId535" display="https://my.zakupivli.pro/remote/dispatcher/state_purchase_view/61174659" xr:uid="{00000000-0004-0000-0000-00005B020000}"/>
    <hyperlink ref="B541" r:id="rId536" display="https://my.zakupivli.pro/remote/dispatcher/state_purchase_view/61171766" xr:uid="{00000000-0004-0000-0000-00005C020000}"/>
    <hyperlink ref="B542" r:id="rId537" display="https://my.zakupivli.pro/remote/dispatcher/state_purchase_view/61171297" xr:uid="{00000000-0004-0000-0000-00005D020000}"/>
    <hyperlink ref="B543" r:id="rId538" display="https://my.zakupivli.pro/remote/dispatcher/state_purchase_view/61157625" xr:uid="{00000000-0004-0000-0000-00005E020000}"/>
    <hyperlink ref="B544" r:id="rId539" display="https://my.zakupivli.pro/remote/dispatcher/state_purchase_view/61156510" xr:uid="{00000000-0004-0000-0000-00005F020000}"/>
    <hyperlink ref="B545" r:id="rId540" display="https://my.zakupivli.pro/remote/dispatcher/state_purchase_view/61129070" xr:uid="{00000000-0004-0000-0000-000060020000}"/>
    <hyperlink ref="B546" r:id="rId541" display="https://my.zakupivli.pro/remote/dispatcher/state_purchase_view/61102695" xr:uid="{00000000-0004-0000-0000-000061020000}"/>
    <hyperlink ref="B547" r:id="rId542" display="https://my.zakupivli.pro/remote/dispatcher/state_purchase_view/61091544" xr:uid="{00000000-0004-0000-0000-000062020000}"/>
    <hyperlink ref="B548" r:id="rId543" display="https://my.zakupivli.pro/remote/dispatcher/state_purchase_view/61091211" xr:uid="{00000000-0004-0000-0000-000063020000}"/>
    <hyperlink ref="B549" r:id="rId544" display="https://my.zakupivli.pro/remote/dispatcher/state_purchase_view/61090655" xr:uid="{00000000-0004-0000-0000-000064020000}"/>
    <hyperlink ref="B550" r:id="rId545" display="https://my.zakupivli.pro/remote/dispatcher/state_purchase_view/61090298" xr:uid="{00000000-0004-0000-0000-000065020000}"/>
    <hyperlink ref="B551" r:id="rId546" display="https://my.zakupivli.pro/remote/dispatcher/state_purchase_view/61089488" xr:uid="{00000000-0004-0000-0000-000066020000}"/>
    <hyperlink ref="B552" r:id="rId547" display="https://my.zakupivli.pro/remote/dispatcher/state_purchase_view/61089474" xr:uid="{00000000-0004-0000-0000-000067020000}"/>
    <hyperlink ref="B553" r:id="rId548" display="https://my.zakupivli.pro/remote/dispatcher/state_purchase_view/61089259" xr:uid="{00000000-0004-0000-0000-000068020000}"/>
    <hyperlink ref="B554" r:id="rId549" display="https://my.zakupivli.pro/remote/dispatcher/state_purchase_view/61088924" xr:uid="{00000000-0004-0000-0000-000069020000}"/>
    <hyperlink ref="B555" r:id="rId550" display="https://my.zakupivli.pro/remote/dispatcher/state_purchase_view/61025936" xr:uid="{00000000-0004-0000-0000-00006A020000}"/>
    <hyperlink ref="B556" r:id="rId551" display="https://my.zakupivli.pro/remote/dispatcher/state_purchase_view/61018721" xr:uid="{00000000-0004-0000-0000-00006B020000}"/>
    <hyperlink ref="B557" r:id="rId552" display="https://my.zakupivli.pro/remote/dispatcher/state_purchase_view/60991515" xr:uid="{00000000-0004-0000-0000-00006C020000}"/>
    <hyperlink ref="B558" r:id="rId553" display="https://my.zakupivli.pro/remote/dispatcher/state_purchase_view/60944070" xr:uid="{00000000-0004-0000-0000-00006D020000}"/>
    <hyperlink ref="B559" r:id="rId554" display="https://my.zakupivli.pro/remote/dispatcher/state_purchase_view/60904162" xr:uid="{00000000-0004-0000-0000-00006E020000}"/>
    <hyperlink ref="B560" r:id="rId555" display="https://my.zakupivli.pro/remote/dispatcher/state_purchase_view/60903527" xr:uid="{00000000-0004-0000-0000-00006F020000}"/>
    <hyperlink ref="B561" r:id="rId556" display="https://my.zakupivli.pro/remote/dispatcher/state_purchase_view/60864390" xr:uid="{00000000-0004-0000-0000-000070020000}"/>
    <hyperlink ref="B562" r:id="rId557" display="https://my.zakupivli.pro/remote/dispatcher/state_purchase_view/60854027" xr:uid="{00000000-0004-0000-0000-000071020000}"/>
    <hyperlink ref="B563" r:id="rId558" display="https://my.zakupivli.pro/remote/dispatcher/state_purchase_view/60849544" xr:uid="{00000000-0004-0000-0000-000072020000}"/>
    <hyperlink ref="B564" r:id="rId559" display="https://my.zakupivli.pro/remote/dispatcher/state_purchase_view/60848991" xr:uid="{00000000-0004-0000-0000-000073020000}"/>
    <hyperlink ref="B565" r:id="rId560" display="https://my.zakupivli.pro/remote/dispatcher/state_purchase_view/60845051" xr:uid="{00000000-0004-0000-0000-000074020000}"/>
    <hyperlink ref="B566" r:id="rId561" display="https://my.zakupivli.pro/remote/dispatcher/state_purchase_view/60707314" xr:uid="{00000000-0004-0000-0000-000075020000}"/>
    <hyperlink ref="B567" r:id="rId562" display="https://my.zakupivli.pro/remote/dispatcher/state_purchase_view/60706668" xr:uid="{00000000-0004-0000-0000-000076020000}"/>
    <hyperlink ref="B568" r:id="rId563" display="https://my.zakupivli.pro/remote/dispatcher/state_purchase_view/60706349" xr:uid="{00000000-0004-0000-0000-000077020000}"/>
    <hyperlink ref="B569" r:id="rId564" display="https://my.zakupivli.pro/remote/dispatcher/state_purchase_view/60705971" xr:uid="{00000000-0004-0000-0000-000078020000}"/>
    <hyperlink ref="B570" r:id="rId565" display="https://my.zakupivli.pro/remote/dispatcher/state_purchase_view/60702609" xr:uid="{00000000-0004-0000-0000-000079020000}"/>
    <hyperlink ref="B571" r:id="rId566" display="https://my.zakupivli.pro/remote/dispatcher/state_purchase_view/60702147" xr:uid="{00000000-0004-0000-0000-00007A020000}"/>
    <hyperlink ref="B572" r:id="rId567" display="https://my.zakupivli.pro/remote/dispatcher/state_purchase_view/60700701" xr:uid="{00000000-0004-0000-0000-00007B020000}"/>
    <hyperlink ref="B573" r:id="rId568" display="https://my.zakupivli.pro/remote/dispatcher/state_purchase_view/60700036" xr:uid="{00000000-0004-0000-0000-00007C020000}"/>
    <hyperlink ref="B574" r:id="rId569" display="https://my.zakupivli.pro/remote/dispatcher/state_purchase_view/60697849" xr:uid="{00000000-0004-0000-0000-00007D020000}"/>
    <hyperlink ref="B575" r:id="rId570" display="https://my.zakupivli.pro/remote/dispatcher/state_purchase_view/60697445" xr:uid="{00000000-0004-0000-0000-00007E020000}"/>
    <hyperlink ref="B576" r:id="rId571" display="https://my.zakupivli.pro/remote/dispatcher/state_purchase_view/60650553" xr:uid="{00000000-0004-0000-0000-00007F020000}"/>
    <hyperlink ref="B577" r:id="rId572" display="https://my.zakupivli.pro/remote/dispatcher/state_purchase_view/60607500" xr:uid="{00000000-0004-0000-0000-000080020000}"/>
    <hyperlink ref="B578" r:id="rId573" display="https://my.zakupivli.pro/remote/dispatcher/state_purchase_view/60606934" xr:uid="{00000000-0004-0000-0000-000081020000}"/>
    <hyperlink ref="B579" r:id="rId574" display="https://my.zakupivli.pro/remote/dispatcher/state_purchase_view/60604250" xr:uid="{00000000-0004-0000-0000-000082020000}"/>
    <hyperlink ref="B580" r:id="rId575" display="https://my.zakupivli.pro/remote/dispatcher/state_purchase_view/60600348" xr:uid="{00000000-0004-0000-0000-000083020000}"/>
    <hyperlink ref="B581" r:id="rId576" display="https://my.zakupivli.pro/remote/dispatcher/state_purchase_view/60600117" xr:uid="{00000000-0004-0000-0000-000085020000}"/>
    <hyperlink ref="B582" r:id="rId577" display="https://my.zakupivli.pro/remote/dispatcher/state_purchase_view/60596661" xr:uid="{00000000-0004-0000-0000-000087020000}"/>
    <hyperlink ref="B583" r:id="rId578" display="https://my.zakupivli.pro/remote/dispatcher/state_purchase_view/60565557" xr:uid="{00000000-0004-0000-0000-000089020000}"/>
    <hyperlink ref="B584" r:id="rId579" display="https://my.zakupivli.pro/remote/dispatcher/state_purchase_view/60564362" xr:uid="{00000000-0004-0000-0000-00008A020000}"/>
    <hyperlink ref="B585" r:id="rId580" display="https://my.zakupivli.pro/remote/dispatcher/state_purchase_view/60563754" xr:uid="{00000000-0004-0000-0000-00008B020000}"/>
    <hyperlink ref="B586" r:id="rId581" display="https://my.zakupivli.pro/remote/dispatcher/state_purchase_view/60561423" xr:uid="{00000000-0004-0000-0000-00008C020000}"/>
    <hyperlink ref="B587" r:id="rId582" display="https://my.zakupivli.pro/remote/dispatcher/state_purchase_view/60561145" xr:uid="{00000000-0004-0000-0000-00008D020000}"/>
    <hyperlink ref="B588" r:id="rId583" display="https://my.zakupivli.pro/remote/dispatcher/state_purchase_view/60560386" xr:uid="{00000000-0004-0000-0000-00008E020000}"/>
    <hyperlink ref="B589" r:id="rId584" display="https://my.zakupivli.pro/remote/dispatcher/state_purchase_view/60544245" xr:uid="{00000000-0004-0000-0000-00008F020000}"/>
    <hyperlink ref="B590" r:id="rId585" display="https://my.zakupivli.pro/remote/dispatcher/state_purchase_view/60541542" xr:uid="{00000000-0004-0000-0000-000090020000}"/>
    <hyperlink ref="B591" r:id="rId586" display="https://my.zakupivli.pro/remote/dispatcher/state_purchase_view/60460185" xr:uid="{00000000-0004-0000-0000-000091020000}"/>
    <hyperlink ref="B592" r:id="rId587" display="https://my.zakupivli.pro/remote/dispatcher/state_purchase_view/60460160" xr:uid="{00000000-0004-0000-0000-000092020000}"/>
    <hyperlink ref="B593" r:id="rId588" display="https://my.zakupivli.pro/remote/dispatcher/state_purchase_view/60460141" xr:uid="{00000000-0004-0000-0000-000093020000}"/>
    <hyperlink ref="B594" r:id="rId589" display="https://my.zakupivli.pro/remote/dispatcher/state_purchase_view/60460099" xr:uid="{00000000-0004-0000-0000-000094020000}"/>
    <hyperlink ref="B595" r:id="rId590" display="https://my.zakupivli.pro/remote/dispatcher/state_purchase_view/60460080" xr:uid="{00000000-0004-0000-0000-000095020000}"/>
    <hyperlink ref="B596" r:id="rId591" display="https://my.zakupivli.pro/remote/dispatcher/state_purchase_view/60460029" xr:uid="{00000000-0004-0000-0000-000096020000}"/>
    <hyperlink ref="B597" r:id="rId592" display="https://my.zakupivli.pro/remote/dispatcher/state_purchase_view/60430053" xr:uid="{00000000-0004-0000-0000-000097020000}"/>
    <hyperlink ref="B598" r:id="rId593" display="https://my.zakupivli.pro/remote/dispatcher/state_purchase_view/60428764" xr:uid="{00000000-0004-0000-0000-000098020000}"/>
    <hyperlink ref="B599" r:id="rId594" display="https://my.zakupivli.pro/remote/dispatcher/state_purchase_view/60428562" xr:uid="{00000000-0004-0000-0000-000099020000}"/>
    <hyperlink ref="B600" r:id="rId595" display="https://my.zakupivli.pro/remote/dispatcher/state_purchase_view/60428190" xr:uid="{00000000-0004-0000-0000-00009A020000}"/>
    <hyperlink ref="B601" r:id="rId596" display="https://my.zakupivli.pro/remote/dispatcher/state_purchase_view/60427858" xr:uid="{00000000-0004-0000-0000-00009B020000}"/>
    <hyperlink ref="B602" r:id="rId597" display="https://my.zakupivli.pro/remote/dispatcher/state_purchase_view/60427408" xr:uid="{00000000-0004-0000-0000-00009C020000}"/>
    <hyperlink ref="B603" r:id="rId598" display="https://my.zakupivli.pro/remote/dispatcher/state_purchase_view/60427206" xr:uid="{00000000-0004-0000-0000-00009D020000}"/>
    <hyperlink ref="B604" r:id="rId599" display="https://my.zakupivli.pro/remote/dispatcher/state_purchase_view/60421544" xr:uid="{00000000-0004-0000-0000-00009E020000}"/>
    <hyperlink ref="B605" r:id="rId600" display="https://my.zakupivli.pro/remote/dispatcher/state_purchase_view/60421258" xr:uid="{00000000-0004-0000-0000-00009F020000}"/>
    <hyperlink ref="B606" r:id="rId601" display="https://my.zakupivli.pro/remote/dispatcher/state_purchase_view/60420527" xr:uid="{00000000-0004-0000-0000-0000A0020000}"/>
    <hyperlink ref="B607" r:id="rId602" display="https://my.zakupivli.pro/remote/dispatcher/state_purchase_view/60318843" xr:uid="{00000000-0004-0000-0000-0000A1020000}"/>
    <hyperlink ref="B608" r:id="rId603" display="https://my.zakupivli.pro/remote/dispatcher/state_purchase_view/60312176" xr:uid="{00000000-0004-0000-0000-0000A2020000}"/>
    <hyperlink ref="B609" r:id="rId604" display="https://my.zakupivli.pro/remote/dispatcher/state_purchase_view/60310207" xr:uid="{00000000-0004-0000-0000-0000A3020000}"/>
    <hyperlink ref="B610" r:id="rId605" display="https://my.zakupivli.pro/remote/dispatcher/state_purchase_view/60288883" xr:uid="{00000000-0004-0000-0000-0000A5020000}"/>
    <hyperlink ref="B611" r:id="rId606" display="https://my.zakupivli.pro/remote/dispatcher/state_purchase_view/60282344" xr:uid="{00000000-0004-0000-0000-0000A6020000}"/>
    <hyperlink ref="B612" r:id="rId607" display="https://my.zakupivli.pro/remote/dispatcher/state_purchase_view/60279774" xr:uid="{00000000-0004-0000-0000-0000A7020000}"/>
    <hyperlink ref="B613" r:id="rId608" display="https://my.zakupivli.pro/remote/dispatcher/state_purchase_view/60279150" xr:uid="{00000000-0004-0000-0000-0000A8020000}"/>
    <hyperlink ref="B614" r:id="rId609" display="https://my.zakupivli.pro/remote/dispatcher/state_purchase_view/60276425" xr:uid="{00000000-0004-0000-0000-0000A9020000}"/>
    <hyperlink ref="B615" r:id="rId610" display="https://my.zakupivli.pro/remote/dispatcher/state_purchase_view/60230205" xr:uid="{00000000-0004-0000-0000-0000AA020000}"/>
    <hyperlink ref="B616" r:id="rId611" display="https://my.zakupivli.pro/remote/dispatcher/state_purchase_view/60229903" xr:uid="{00000000-0004-0000-0000-0000AC020000}"/>
    <hyperlink ref="B617" r:id="rId612" display="https://my.zakupivli.pro/remote/dispatcher/state_purchase_view/60229816" xr:uid="{00000000-0004-0000-0000-0000AD020000}"/>
    <hyperlink ref="B618" r:id="rId613" display="https://my.zakupivli.pro/remote/dispatcher/state_purchase_view/60216194" xr:uid="{00000000-0004-0000-0000-0000AE020000}"/>
    <hyperlink ref="B619" r:id="rId614" display="https://my.zakupivli.pro/remote/dispatcher/state_purchase_view/60215129" xr:uid="{00000000-0004-0000-0000-0000AF020000}"/>
    <hyperlink ref="B620" r:id="rId615" display="https://my.zakupivli.pro/remote/dispatcher/state_purchase_view/60214639" xr:uid="{00000000-0004-0000-0000-0000B0020000}"/>
    <hyperlink ref="B621" r:id="rId616" display="https://my.zakupivli.pro/remote/dispatcher/state_purchase_view/60213282" xr:uid="{00000000-0004-0000-0000-0000B1020000}"/>
    <hyperlink ref="B622" r:id="rId617" display="https://my.zakupivli.pro/remote/dispatcher/state_purchase_view/60211435" xr:uid="{00000000-0004-0000-0000-0000B2020000}"/>
    <hyperlink ref="B623" r:id="rId618" display="https://my.zakupivli.pro/remote/dispatcher/state_purchase_view/60211099" xr:uid="{00000000-0004-0000-0000-0000B3020000}"/>
    <hyperlink ref="B624" r:id="rId619" display="https://my.zakupivli.pro/remote/dispatcher/state_purchase_view/60206357" xr:uid="{00000000-0004-0000-0000-0000B4020000}"/>
    <hyperlink ref="B625" r:id="rId620" display="https://my.zakupivli.pro/remote/dispatcher/state_purchase_view/60202977" xr:uid="{00000000-0004-0000-0000-0000B5020000}"/>
    <hyperlink ref="B626" r:id="rId621" display="https://my.zakupivli.pro/remote/dispatcher/state_purchase_view/60198937" xr:uid="{00000000-0004-0000-0000-0000B6020000}"/>
    <hyperlink ref="B627" r:id="rId622" display="https://my.zakupivli.pro/remote/dispatcher/state_purchase_view/60198900" xr:uid="{00000000-0004-0000-0000-0000B7020000}"/>
    <hyperlink ref="B628" r:id="rId623" display="https://my.zakupivli.pro/remote/dispatcher/state_purchase_view/60198852" xr:uid="{00000000-0004-0000-0000-0000B8020000}"/>
    <hyperlink ref="B629" r:id="rId624" display="https://my.zakupivli.pro/remote/dispatcher/state_purchase_view/60198813" xr:uid="{00000000-0004-0000-0000-0000B9020000}"/>
    <hyperlink ref="B630" r:id="rId625" display="https://my.zakupivli.pro/remote/dispatcher/state_purchase_view/60198661" xr:uid="{00000000-0004-0000-0000-0000BA020000}"/>
    <hyperlink ref="B631" r:id="rId626" display="https://my.zakupivli.pro/remote/dispatcher/state_purchase_view/60198624" xr:uid="{00000000-0004-0000-0000-0000BB020000}"/>
    <hyperlink ref="B632" r:id="rId627" display="https://my.zakupivli.pro/remote/dispatcher/state_purchase_view/60198547" xr:uid="{00000000-0004-0000-0000-0000BC020000}"/>
    <hyperlink ref="B633" r:id="rId628" display="https://my.zakupivli.pro/remote/dispatcher/state_purchase_view/60198409" xr:uid="{00000000-0004-0000-0000-0000BD020000}"/>
    <hyperlink ref="B634" r:id="rId629" display="https://my.zakupivli.pro/remote/dispatcher/state_purchase_view/60165659" xr:uid="{00000000-0004-0000-0000-0000C0020000}"/>
    <hyperlink ref="B635" r:id="rId630" display="https://my.zakupivli.pro/remote/dispatcher/state_purchase_view/60125016" xr:uid="{00000000-0004-0000-0000-0000C1020000}"/>
    <hyperlink ref="B636" r:id="rId631" display="https://my.zakupivli.pro/remote/dispatcher/state_purchase_view/60119090" xr:uid="{00000000-0004-0000-0000-0000C2020000}"/>
    <hyperlink ref="B637" r:id="rId632" display="https://my.zakupivli.pro/remote/dispatcher/state_purchase_view/60117587" xr:uid="{00000000-0004-0000-0000-0000C3020000}"/>
    <hyperlink ref="B638" r:id="rId633" display="https://my.zakupivli.pro/remote/dispatcher/state_purchase_view/60108655" xr:uid="{00000000-0004-0000-0000-0000C4020000}"/>
    <hyperlink ref="B639" r:id="rId634" display="https://my.zakupivli.pro/remote/dispatcher/state_purchase_view/60091938" xr:uid="{00000000-0004-0000-0000-0000C5020000}"/>
    <hyperlink ref="B640" r:id="rId635" display="https://my.zakupivli.pro/remote/dispatcher/state_purchase_view/60062842" xr:uid="{00000000-0004-0000-0000-0000C6020000}"/>
    <hyperlink ref="B641" r:id="rId636" display="https://my.zakupivli.pro/remote/dispatcher/state_purchase_view/60031328" xr:uid="{00000000-0004-0000-0000-0000C7020000}"/>
    <hyperlink ref="B642" r:id="rId637" display="https://my.zakupivli.pro/remote/dispatcher/state_purchase_view/60017455" xr:uid="{00000000-0004-0000-0000-0000C8020000}"/>
    <hyperlink ref="B643" r:id="rId638" display="https://my.zakupivli.pro/remote/dispatcher/state_purchase_view/59994431" xr:uid="{00000000-0004-0000-0000-0000C9020000}"/>
    <hyperlink ref="B644" r:id="rId639" display="https://my.zakupivli.pro/remote/dispatcher/state_purchase_view/59991370" xr:uid="{00000000-0004-0000-0000-0000CA020000}"/>
    <hyperlink ref="B645" r:id="rId640" display="https://my.zakupivli.pro/remote/dispatcher/state_purchase_view/59989319" xr:uid="{00000000-0004-0000-0000-0000CB020000}"/>
    <hyperlink ref="B646" r:id="rId641" display="https://my.zakupivli.pro/remote/dispatcher/state_purchase_view/59986296" xr:uid="{00000000-0004-0000-0000-0000CC020000}"/>
    <hyperlink ref="B647" r:id="rId642" display="https://my.zakupivli.pro/remote/dispatcher/state_purchase_view/59984793" xr:uid="{00000000-0004-0000-0000-0000CD020000}"/>
    <hyperlink ref="B648" r:id="rId643" display="https://my.zakupivli.pro/remote/dispatcher/state_purchase_view/59920748" xr:uid="{00000000-0004-0000-0000-0000CE020000}"/>
    <hyperlink ref="B649" r:id="rId644" display="https://my.zakupivli.pro/remote/dispatcher/state_purchase_view/59883649" xr:uid="{00000000-0004-0000-0000-0000D0020000}"/>
    <hyperlink ref="B650" r:id="rId645" display="https://my.zakupivli.pro/remote/dispatcher/state_purchase_view/59881025" xr:uid="{00000000-0004-0000-0000-0000D1020000}"/>
    <hyperlink ref="B651" r:id="rId646" display="https://my.zakupivli.pro/remote/dispatcher/state_purchase_view/59880370" xr:uid="{00000000-0004-0000-0000-0000D2020000}"/>
    <hyperlink ref="B652" r:id="rId647" display="https://my.zakupivli.pro/remote/dispatcher/state_purchase_view/59876588" xr:uid="{00000000-0004-0000-0000-0000D3020000}"/>
    <hyperlink ref="B653" r:id="rId648" display="https://my.zakupivli.pro/remote/dispatcher/state_purchase_view/59876406" xr:uid="{00000000-0004-0000-0000-0000D4020000}"/>
    <hyperlink ref="B654" r:id="rId649" display="https://my.zakupivli.pro/remote/dispatcher/state_purchase_view/59876010" xr:uid="{00000000-0004-0000-0000-0000D5020000}"/>
    <hyperlink ref="B655" r:id="rId650" display="https://my.zakupivli.pro/remote/dispatcher/state_purchase_view/59821324" xr:uid="{00000000-0004-0000-0000-0000D6020000}"/>
    <hyperlink ref="B656" r:id="rId651" display="https://my.zakupivli.pro/remote/dispatcher/state_purchase_view/59817630" xr:uid="{00000000-0004-0000-0000-0000D8020000}"/>
    <hyperlink ref="B657" r:id="rId652" display="https://my.zakupivli.pro/remote/dispatcher/state_purchase_view/59790109" xr:uid="{00000000-0004-0000-0000-0000DA020000}"/>
    <hyperlink ref="B658" r:id="rId653" display="https://my.zakupivli.pro/remote/dispatcher/state_purchase_view/59788583" xr:uid="{00000000-0004-0000-0000-0000DB020000}"/>
    <hyperlink ref="B659" r:id="rId654" display="https://my.zakupivli.pro/remote/dispatcher/state_purchase_view/59613401" xr:uid="{00000000-0004-0000-0000-0000DC020000}"/>
    <hyperlink ref="B660" r:id="rId655" display="https://my.zakupivli.pro/remote/dispatcher/state_purchase_view/59611631" xr:uid="{00000000-0004-0000-0000-0000DD020000}"/>
    <hyperlink ref="B661" r:id="rId656" display="https://my.zakupivli.pro/remote/dispatcher/state_purchase_view/59600242" xr:uid="{00000000-0004-0000-0000-0000DE020000}"/>
    <hyperlink ref="B662" r:id="rId657" display="https://my.zakupivli.pro/remote/dispatcher/state_purchase_view/59585535" xr:uid="{00000000-0004-0000-0000-0000DF020000}"/>
    <hyperlink ref="B663" r:id="rId658" display="https://my.zakupivli.pro/remote/dispatcher/state_purchase_view/59567446" xr:uid="{00000000-0004-0000-0000-0000E0020000}"/>
    <hyperlink ref="B664" r:id="rId659" display="https://my.zakupivli.pro/remote/dispatcher/state_purchase_view/59565439" xr:uid="{00000000-0004-0000-0000-0000E1020000}"/>
    <hyperlink ref="B665" r:id="rId660" display="https://my.zakupivli.pro/remote/dispatcher/state_purchase_view/59563852" xr:uid="{00000000-0004-0000-0000-0000E2020000}"/>
    <hyperlink ref="B666" r:id="rId661" display="https://my.zakupivli.pro/remote/dispatcher/state_purchase_view/59546377" xr:uid="{00000000-0004-0000-0000-0000E3020000}"/>
    <hyperlink ref="B667" r:id="rId662" display="https://my.zakupivli.pro/remote/dispatcher/state_purchase_view/59499693" xr:uid="{00000000-0004-0000-0000-0000E4020000}"/>
    <hyperlink ref="B668" r:id="rId663" display="https://my.zakupivli.pro/remote/dispatcher/state_purchase_view/59389739" xr:uid="{00000000-0004-0000-0000-0000E5020000}"/>
    <hyperlink ref="B669" r:id="rId664" display="https://my.zakupivli.pro/remote/dispatcher/state_purchase_view/59388971" xr:uid="{00000000-0004-0000-0000-0000E6020000}"/>
    <hyperlink ref="B670" r:id="rId665" display="https://my.zakupivli.pro/remote/dispatcher/state_purchase_view/59356296" xr:uid="{00000000-0004-0000-0000-0000E7020000}"/>
    <hyperlink ref="B671" r:id="rId666" display="https://my.zakupivli.pro/remote/dispatcher/state_purchase_view/59343625" xr:uid="{00000000-0004-0000-0000-0000E8020000}"/>
    <hyperlink ref="B672" r:id="rId667" display="https://my.zakupivli.pro/remote/dispatcher/state_purchase_view/59343055" xr:uid="{00000000-0004-0000-0000-0000E9020000}"/>
    <hyperlink ref="B673" r:id="rId668" display="https://my.zakupivli.pro/remote/dispatcher/state_purchase_view/59341175" xr:uid="{00000000-0004-0000-0000-0000EA020000}"/>
    <hyperlink ref="B674" r:id="rId669" display="https://my.zakupivli.pro/remote/dispatcher/state_purchase_view/59298069" xr:uid="{00000000-0004-0000-0000-0000EB020000}"/>
    <hyperlink ref="B675" r:id="rId670" display="https://my.zakupivli.pro/remote/dispatcher/state_purchase_view/59297315" xr:uid="{00000000-0004-0000-0000-0000EC020000}"/>
    <hyperlink ref="B676" r:id="rId671" display="https://my.zakupivli.pro/remote/dispatcher/state_purchase_view/59296716" xr:uid="{00000000-0004-0000-0000-0000ED020000}"/>
    <hyperlink ref="B677" r:id="rId672" display="https://my.zakupivli.pro/remote/dispatcher/state_purchase_view/59161668" xr:uid="{00000000-0004-0000-0000-0000EE020000}"/>
    <hyperlink ref="B678" r:id="rId673" display="https://my.zakupivli.pro/remote/dispatcher/state_purchase_view/59160535" xr:uid="{00000000-0004-0000-0000-0000EF020000}"/>
    <hyperlink ref="B679" r:id="rId674" display="https://my.zakupivli.pro/remote/dispatcher/state_purchase_view/59159708" xr:uid="{00000000-0004-0000-0000-0000F0020000}"/>
    <hyperlink ref="B680" r:id="rId675" display="https://my.zakupivli.pro/remote/dispatcher/state_purchase_view/59116077" xr:uid="{00000000-0004-0000-0000-0000F1020000}"/>
    <hyperlink ref="B681" r:id="rId676" display="https://my.zakupivli.pro/remote/dispatcher/state_purchase_view/59115431" xr:uid="{00000000-0004-0000-0000-0000F2020000}"/>
    <hyperlink ref="B682" r:id="rId677" display="https://my.zakupivli.pro/remote/dispatcher/state_purchase_view/59058355" xr:uid="{00000000-0004-0000-0000-0000F3020000}"/>
    <hyperlink ref="B683" r:id="rId678" display="https://my.zakupivli.pro/remote/dispatcher/state_purchase_view/59057529" xr:uid="{00000000-0004-0000-0000-0000F4020000}"/>
    <hyperlink ref="B684" r:id="rId679" display="https://my.zakupivli.pro/remote/dispatcher/state_purchase_view/59056014" xr:uid="{00000000-0004-0000-0000-0000F5020000}"/>
    <hyperlink ref="B685" r:id="rId680" display="https://my.zakupivli.pro/remote/dispatcher/state_purchase_view/59053246" xr:uid="{00000000-0004-0000-0000-0000F6020000}"/>
    <hyperlink ref="B686" r:id="rId681" display="https://my.zakupivli.pro/remote/dispatcher/state_purchase_view/59052424" xr:uid="{00000000-0004-0000-0000-0000F7020000}"/>
    <hyperlink ref="B687" r:id="rId682" display="https://my.zakupivli.pro/remote/dispatcher/state_purchase_view/59051562" xr:uid="{00000000-0004-0000-0000-0000F8020000}"/>
    <hyperlink ref="B688" r:id="rId683" display="https://my.zakupivli.pro/remote/dispatcher/state_purchase_view/59043988" xr:uid="{00000000-0004-0000-0000-0000F9020000}"/>
    <hyperlink ref="B689" r:id="rId684" display="https://my.zakupivli.pro/remote/dispatcher/state_purchase_view/59042671" xr:uid="{00000000-0004-0000-0000-0000FA020000}"/>
    <hyperlink ref="B690" r:id="rId685" display="https://my.zakupivli.pro/remote/dispatcher/state_purchase_view/59041260" xr:uid="{00000000-0004-0000-0000-0000FB020000}"/>
    <hyperlink ref="B691" r:id="rId686" display="https://my.zakupivli.pro/remote/dispatcher/state_purchase_view/59040720" xr:uid="{00000000-0004-0000-0000-0000FC020000}"/>
    <hyperlink ref="B692" r:id="rId687" display="https://my.zakupivli.pro/remote/dispatcher/state_purchase_view/59013951" xr:uid="{00000000-0004-0000-0000-0000FD020000}"/>
    <hyperlink ref="B693" r:id="rId688" display="https://my.zakupivli.pro/remote/dispatcher/state_purchase_view/58961383" xr:uid="{00000000-0004-0000-0000-0000FE020000}"/>
    <hyperlink ref="B694" r:id="rId689" display="https://my.zakupivli.pro/remote/dispatcher/state_purchase_view/58932379" xr:uid="{00000000-0004-0000-0000-000001030000}"/>
    <hyperlink ref="B695" r:id="rId690" display="https://my.zakupivli.pro/remote/dispatcher/state_purchase_view/58932053" xr:uid="{00000000-0004-0000-0000-000002030000}"/>
    <hyperlink ref="B696" r:id="rId691" display="https://my.zakupivli.pro/remote/dispatcher/state_purchase_view/58931670" xr:uid="{00000000-0004-0000-0000-000003030000}"/>
    <hyperlink ref="B697" r:id="rId692" display="https://my.zakupivli.pro/remote/dispatcher/state_purchase_view/58931476" xr:uid="{00000000-0004-0000-0000-000004030000}"/>
    <hyperlink ref="B698" r:id="rId693" display="https://my.zakupivli.pro/remote/dispatcher/state_purchase_view/58931046" xr:uid="{00000000-0004-0000-0000-000005030000}"/>
    <hyperlink ref="B699" r:id="rId694" display="https://my.zakupivli.pro/remote/dispatcher/state_purchase_view/58930208" xr:uid="{00000000-0004-0000-0000-000006030000}"/>
    <hyperlink ref="B700" r:id="rId695" display="https://my.zakupivli.pro/remote/dispatcher/state_purchase_view/58928885" xr:uid="{00000000-0004-0000-0000-000007030000}"/>
    <hyperlink ref="B701" r:id="rId696" display="https://my.zakupivli.pro/remote/dispatcher/state_purchase_view/58925702" xr:uid="{00000000-0004-0000-0000-000008030000}"/>
    <hyperlink ref="B702" r:id="rId697" display="https://my.zakupivli.pro/remote/dispatcher/state_purchase_view/58892435" xr:uid="{00000000-0004-0000-0000-000009030000}"/>
    <hyperlink ref="B703" r:id="rId698" display="https://my.zakupivli.pro/remote/dispatcher/state_purchase_view/58875244" xr:uid="{00000000-0004-0000-0000-00000B030000}"/>
    <hyperlink ref="B704" r:id="rId699" display="https://my.zakupivli.pro/remote/dispatcher/state_purchase_view/58875164" xr:uid="{00000000-0004-0000-0000-00000C030000}"/>
    <hyperlink ref="B705" r:id="rId700" display="https://my.zakupivli.pro/remote/dispatcher/state_purchase_view/58874952" xr:uid="{00000000-0004-0000-0000-00000D030000}"/>
    <hyperlink ref="B706" r:id="rId701" display="https://my.zakupivli.pro/remote/dispatcher/state_purchase_view/58874751" xr:uid="{00000000-0004-0000-0000-00000E030000}"/>
    <hyperlink ref="B707" r:id="rId702" display="https://my.zakupivli.pro/remote/dispatcher/state_purchase_view/58874617" xr:uid="{00000000-0004-0000-0000-00000F030000}"/>
    <hyperlink ref="B708" r:id="rId703" display="https://my.zakupivli.pro/remote/dispatcher/state_purchase_view/58874358" xr:uid="{00000000-0004-0000-0000-000010030000}"/>
    <hyperlink ref="B709" r:id="rId704" display="https://my.zakupivli.pro/remote/dispatcher/state_purchase_view/58851305" xr:uid="{00000000-0004-0000-0000-000011030000}"/>
    <hyperlink ref="B710" r:id="rId705" display="https://my.zakupivli.pro/remote/dispatcher/state_purchase_view/58848131" xr:uid="{00000000-0004-0000-0000-000012030000}"/>
    <hyperlink ref="B711" r:id="rId706" display="https://my.zakupivli.pro/remote/dispatcher/state_purchase_view/58792764" xr:uid="{00000000-0004-0000-0000-000013030000}"/>
    <hyperlink ref="B712" r:id="rId707" display="https://my.zakupivli.pro/remote/dispatcher/state_purchase_view/58790886" xr:uid="{00000000-0004-0000-0000-000014030000}"/>
    <hyperlink ref="B713" r:id="rId708" display="https://my.zakupivli.pro/remote/dispatcher/state_purchase_view/58789278" xr:uid="{00000000-0004-0000-0000-000015030000}"/>
    <hyperlink ref="B714" r:id="rId709" display="https://my.zakupivli.pro/remote/dispatcher/state_purchase_view/58701277" xr:uid="{00000000-0004-0000-0000-000016030000}"/>
    <hyperlink ref="B715" r:id="rId710" display="https://my.zakupivli.pro/remote/dispatcher/state_purchase_view/58699006" xr:uid="{00000000-0004-0000-0000-000017030000}"/>
    <hyperlink ref="B716" r:id="rId711" display="https://my.zakupivli.pro/remote/dispatcher/state_purchase_view/58696500" xr:uid="{00000000-0004-0000-0000-000018030000}"/>
    <hyperlink ref="B717" r:id="rId712" display="https://my.zakupivli.pro/remote/dispatcher/state_purchase_view/58694124" xr:uid="{00000000-0004-0000-0000-000019030000}"/>
    <hyperlink ref="B718" r:id="rId713" display="https://my.zakupivli.pro/remote/dispatcher/state_purchase_view/58692191" xr:uid="{00000000-0004-0000-0000-00001A030000}"/>
    <hyperlink ref="B719" r:id="rId714" display="https://my.zakupivli.pro/remote/dispatcher/state_purchase_view/58691793" xr:uid="{00000000-0004-0000-0000-00001B030000}"/>
    <hyperlink ref="B720" r:id="rId715" display="https://my.zakupivli.pro/remote/dispatcher/state_purchase_view/58690795" xr:uid="{00000000-0004-0000-0000-00001C030000}"/>
    <hyperlink ref="B721" r:id="rId716" display="https://my.zakupivli.pro/remote/dispatcher/state_purchase_view/58688811" xr:uid="{00000000-0004-0000-0000-00001D030000}"/>
    <hyperlink ref="B722" r:id="rId717" display="https://my.zakupivli.pro/remote/dispatcher/state_purchase_view/58660832" xr:uid="{00000000-0004-0000-0000-00001F030000}"/>
    <hyperlink ref="B723" r:id="rId718" display="https://my.zakupivli.pro/remote/dispatcher/state_purchase_view/58632822" xr:uid="{00000000-0004-0000-0000-000020030000}"/>
    <hyperlink ref="B724" r:id="rId719" display="https://my.zakupivli.pro/remote/dispatcher/state_purchase_view/58596340" xr:uid="{00000000-0004-0000-0000-000023030000}"/>
    <hyperlink ref="B725" r:id="rId720" display="https://my.zakupivli.pro/remote/dispatcher/state_purchase_view/58589053" xr:uid="{00000000-0004-0000-0000-000026030000}"/>
    <hyperlink ref="B726" r:id="rId721" display="https://my.zakupivli.pro/remote/dispatcher/state_purchase_view/58568255" xr:uid="{00000000-0004-0000-0000-000027030000}"/>
    <hyperlink ref="B727" r:id="rId722" display="https://my.zakupivli.pro/remote/dispatcher/state_purchase_view/58567303" xr:uid="{00000000-0004-0000-0000-000029030000}"/>
    <hyperlink ref="B728" r:id="rId723" display="https://my.zakupivli.pro/remote/dispatcher/state_purchase_view/58564776" xr:uid="{00000000-0004-0000-0000-00002B030000}"/>
    <hyperlink ref="B729" r:id="rId724" display="https://my.zakupivli.pro/remote/dispatcher/state_purchase_view/58562001" xr:uid="{00000000-0004-0000-0000-00002D030000}"/>
    <hyperlink ref="B730" r:id="rId725" display="https://my.zakupivli.pro/remote/dispatcher/state_purchase_view/58560998" xr:uid="{00000000-0004-0000-0000-00002E030000}"/>
    <hyperlink ref="B731" r:id="rId726" display="https://my.zakupivli.pro/remote/dispatcher/state_purchase_view/58560590" xr:uid="{00000000-0004-0000-0000-00002F030000}"/>
    <hyperlink ref="B732" r:id="rId727" display="https://my.zakupivli.pro/remote/dispatcher/state_purchase_view/58537679" xr:uid="{00000000-0004-0000-0000-000030030000}"/>
    <hyperlink ref="B733" r:id="rId728" display="https://my.zakupivli.pro/remote/dispatcher/state_purchase_view/58478921" xr:uid="{00000000-0004-0000-0000-000032030000}"/>
    <hyperlink ref="B734" r:id="rId729" display="https://my.zakupivli.pro/remote/dispatcher/state_purchase_view/58446450" xr:uid="{00000000-0004-0000-0000-000033030000}"/>
    <hyperlink ref="B735" r:id="rId730" display="https://my.zakupivli.pro/remote/dispatcher/state_purchase_view/58442232" xr:uid="{00000000-0004-0000-0000-000035030000}"/>
    <hyperlink ref="B736" r:id="rId731" display="https://my.zakupivli.pro/remote/dispatcher/state_purchase_view/58441475" xr:uid="{00000000-0004-0000-0000-000036030000}"/>
    <hyperlink ref="B737" r:id="rId732" display="https://my.zakupivli.pro/remote/dispatcher/state_purchase_view/58441006" xr:uid="{00000000-0004-0000-0000-000037030000}"/>
    <hyperlink ref="B738" r:id="rId733" display="https://my.zakupivli.pro/remote/dispatcher/state_purchase_view/58440648" xr:uid="{00000000-0004-0000-0000-000038030000}"/>
    <hyperlink ref="B739" r:id="rId734" display="https://my.zakupivli.pro/remote/dispatcher/state_purchase_view/58440126" xr:uid="{00000000-0004-0000-0000-000039030000}"/>
    <hyperlink ref="B740" r:id="rId735" display="https://my.zakupivli.pro/remote/dispatcher/state_purchase_view/58405770" xr:uid="{00000000-0004-0000-0000-00003A030000}"/>
    <hyperlink ref="B741" r:id="rId736" display="https://my.zakupivli.pro/remote/dispatcher/state_purchase_view/58373881" xr:uid="{00000000-0004-0000-0000-00003B030000}"/>
    <hyperlink ref="B742" r:id="rId737" display="https://my.zakupivli.pro/remote/dispatcher/state_purchase_view/58373608" xr:uid="{00000000-0004-0000-0000-00003D030000}"/>
    <hyperlink ref="B743" r:id="rId738" display="https://my.zakupivli.pro/remote/dispatcher/state_purchase_view/58373342" xr:uid="{00000000-0004-0000-0000-00003F030000}"/>
    <hyperlink ref="B744" r:id="rId739" display="https://my.zakupivli.pro/remote/dispatcher/state_purchase_view/58365117" xr:uid="{00000000-0004-0000-0000-000041030000}"/>
    <hyperlink ref="B745" r:id="rId740" display="https://my.zakupivli.pro/remote/dispatcher/state_purchase_view/58364489" xr:uid="{00000000-0004-0000-0000-000042030000}"/>
    <hyperlink ref="B746" r:id="rId741" display="https://my.zakupivli.pro/remote/dispatcher/state_purchase_view/58363768" xr:uid="{00000000-0004-0000-0000-000043030000}"/>
    <hyperlink ref="B747" r:id="rId742" display="https://my.zakupivli.pro/remote/dispatcher/state_purchase_view/58331104" xr:uid="{00000000-0004-0000-0000-000044030000}"/>
    <hyperlink ref="B748" r:id="rId743" display="https://my.zakupivli.pro/remote/dispatcher/state_purchase_view/58319412" xr:uid="{00000000-0004-0000-0000-000046030000}"/>
    <hyperlink ref="B749" r:id="rId744" display="https://my.zakupivli.pro/remote/dispatcher/state_purchase_view/58317351" xr:uid="{00000000-0004-0000-0000-000047030000}"/>
    <hyperlink ref="B750" r:id="rId745" display="https://my.zakupivli.pro/remote/dispatcher/state_purchase_view/58268471" xr:uid="{00000000-0004-0000-0000-000048030000}"/>
    <hyperlink ref="B751" r:id="rId746" display="https://my.zakupivli.pro/remote/dispatcher/state_purchase_view/58266885" xr:uid="{00000000-0004-0000-0000-000049030000}"/>
    <hyperlink ref="B752" r:id="rId747" display="https://my.zakupivli.pro/remote/dispatcher/state_purchase_view/58260979" xr:uid="{00000000-0004-0000-0000-00004A030000}"/>
    <hyperlink ref="B753" r:id="rId748" display="https://my.zakupivli.pro/remote/dispatcher/state_purchase_view/58228350" xr:uid="{00000000-0004-0000-0000-00004B030000}"/>
    <hyperlink ref="B754" r:id="rId749" display="https://my.zakupivli.pro/remote/dispatcher/state_purchase_view/58223338" xr:uid="{00000000-0004-0000-0000-00004C030000}"/>
    <hyperlink ref="B755" r:id="rId750" display="https://my.zakupivli.pro/remote/dispatcher/state_purchase_view/58190730" xr:uid="{00000000-0004-0000-0000-00004E030000}"/>
    <hyperlink ref="B756" r:id="rId751" display="https://my.zakupivli.pro/remote/dispatcher/state_purchase_view/58189583" xr:uid="{00000000-0004-0000-0000-00004F030000}"/>
    <hyperlink ref="B757" r:id="rId752" display="https://my.zakupivli.pro/remote/dispatcher/state_purchase_view/58188981" xr:uid="{00000000-0004-0000-0000-000050030000}"/>
    <hyperlink ref="B758" r:id="rId753" display="https://my.zakupivli.pro/remote/dispatcher/state_purchase_view/58167175" xr:uid="{00000000-0004-0000-0000-000051030000}"/>
    <hyperlink ref="B759" r:id="rId754" display="https://my.zakupivli.pro/remote/dispatcher/state_purchase_view/58165307" xr:uid="{00000000-0004-0000-0000-000053030000}"/>
    <hyperlink ref="B760" r:id="rId755" display="https://my.zakupivli.pro/remote/dispatcher/state_purchase_view/58160000" xr:uid="{00000000-0004-0000-0000-000054030000}"/>
    <hyperlink ref="B761" r:id="rId756" display="https://my.zakupivli.pro/remote/dispatcher/state_purchase_view/58157595" xr:uid="{00000000-0004-0000-0000-000055030000}"/>
    <hyperlink ref="B762" r:id="rId757" display="https://my.zakupivli.pro/remote/dispatcher/state_purchase_view/58156223" xr:uid="{00000000-0004-0000-0000-000056030000}"/>
    <hyperlink ref="B763" r:id="rId758" display="https://my.zakupivli.pro/remote/dispatcher/state_purchase_view/58140707" xr:uid="{00000000-0004-0000-0000-000057030000}"/>
    <hyperlink ref="B764" r:id="rId759" display="https://my.zakupivli.pro/remote/dispatcher/state_purchase_view/58139484" xr:uid="{00000000-0004-0000-0000-000059030000}"/>
    <hyperlink ref="B765" r:id="rId760" display="https://my.zakupivli.pro/remote/dispatcher/state_purchase_view/58110204" xr:uid="{00000000-0004-0000-0000-00005A030000}"/>
    <hyperlink ref="B766" r:id="rId761" display="https://my.zakupivli.pro/remote/dispatcher/state_purchase_view/58109556" xr:uid="{00000000-0004-0000-0000-00005C030000}"/>
    <hyperlink ref="B767" r:id="rId762" display="https://my.zakupivli.pro/remote/dispatcher/state_purchase_view/58085184" xr:uid="{00000000-0004-0000-0000-00005D030000}"/>
    <hyperlink ref="B768" r:id="rId763" display="https://my.zakupivli.pro/remote/dispatcher/state_purchase_view/58075229" xr:uid="{00000000-0004-0000-0000-00005F030000}"/>
    <hyperlink ref="B769" r:id="rId764" display="https://my.zakupivli.pro/remote/dispatcher/state_purchase_view/58074248" xr:uid="{00000000-0004-0000-0000-000060030000}"/>
    <hyperlink ref="B770" r:id="rId765" display="https://my.zakupivli.pro/remote/dispatcher/state_purchase_view/58049419" xr:uid="{00000000-0004-0000-0000-000061030000}"/>
    <hyperlink ref="B771" r:id="rId766" display="https://my.zakupivli.pro/remote/dispatcher/state_purchase_view/58040173" xr:uid="{00000000-0004-0000-0000-000064030000}"/>
    <hyperlink ref="B772" r:id="rId767" display="https://my.zakupivli.pro/remote/dispatcher/state_purchase_view/58039853" xr:uid="{00000000-0004-0000-0000-000065030000}"/>
    <hyperlink ref="B773" r:id="rId768" display="https://my.zakupivli.pro/remote/dispatcher/state_purchase_view/58009820" xr:uid="{00000000-0004-0000-0000-000066030000}"/>
    <hyperlink ref="B774" r:id="rId769" display="https://my.zakupivli.pro/remote/dispatcher/state_purchase_view/57980421" xr:uid="{00000000-0004-0000-0000-000067030000}"/>
    <hyperlink ref="B775" r:id="rId770" display="https://my.zakupivli.pro/remote/dispatcher/state_purchase_view/57923524" xr:uid="{00000000-0004-0000-0000-000069030000}"/>
    <hyperlink ref="B776" r:id="rId771" display="https://my.zakupivli.pro/remote/dispatcher/state_purchase_view/57921829" xr:uid="{00000000-0004-0000-0000-00006A030000}"/>
    <hyperlink ref="B777" r:id="rId772" display="https://my.zakupivli.pro/remote/dispatcher/state_purchase_view/57921334" xr:uid="{00000000-0004-0000-0000-00006B030000}"/>
    <hyperlink ref="B778" r:id="rId773" display="https://my.zakupivli.pro/remote/dispatcher/state_purchase_view/57920417" xr:uid="{00000000-0004-0000-0000-00006C030000}"/>
    <hyperlink ref="B779" r:id="rId774" display="https://my.zakupivli.pro/remote/dispatcher/state_purchase_view/57920265" xr:uid="{00000000-0004-0000-0000-00006D030000}"/>
    <hyperlink ref="B780" r:id="rId775" display="https://my.zakupivli.pro/remote/dispatcher/state_purchase_view/57858229" xr:uid="{00000000-0004-0000-0000-00006F030000}"/>
    <hyperlink ref="B781" r:id="rId776" display="https://my.zakupivli.pro/remote/dispatcher/state_purchase_view/57857868" xr:uid="{00000000-0004-0000-0000-000070030000}"/>
    <hyperlink ref="B782" r:id="rId777" display="https://my.zakupivli.pro/remote/dispatcher/state_purchase_view/57856675" xr:uid="{00000000-0004-0000-0000-000071030000}"/>
    <hyperlink ref="B783" r:id="rId778" display="https://my.zakupivli.pro/remote/dispatcher/state_purchase_view/57852034" xr:uid="{00000000-0004-0000-0000-000073030000}"/>
    <hyperlink ref="B784" r:id="rId779" display="https://my.zakupivli.pro/remote/dispatcher/state_purchase_view/57826755" xr:uid="{00000000-0004-0000-0000-000074030000}"/>
    <hyperlink ref="B785" r:id="rId780" display="https://my.zakupivli.pro/remote/dispatcher/state_purchase_view/57825795" xr:uid="{00000000-0004-0000-0000-000075030000}"/>
    <hyperlink ref="B786" r:id="rId781" display="https://my.zakupivli.pro/remote/dispatcher/state_purchase_view/57812806" xr:uid="{00000000-0004-0000-0000-000076030000}"/>
    <hyperlink ref="B787" r:id="rId782" display="https://my.zakupivli.pro/remote/dispatcher/state_purchase_view/57812182" xr:uid="{00000000-0004-0000-0000-000077030000}"/>
    <hyperlink ref="B788" r:id="rId783" display="https://my.zakupivli.pro/remote/dispatcher/state_purchase_view/57723196" xr:uid="{00000000-0004-0000-0000-000079030000}"/>
    <hyperlink ref="B789" r:id="rId784" display="https://my.zakupivli.pro/remote/dispatcher/state_purchase_view/57705092" xr:uid="{00000000-0004-0000-0000-00007A030000}"/>
    <hyperlink ref="B790" r:id="rId785" display="https://my.zakupivli.pro/remote/dispatcher/state_purchase_view/57698689" xr:uid="{00000000-0004-0000-0000-00007B030000}"/>
    <hyperlink ref="B791" r:id="rId786" display="https://my.zakupivli.pro/remote/dispatcher/state_purchase_view/57698276" xr:uid="{00000000-0004-0000-0000-00007C030000}"/>
    <hyperlink ref="B792" r:id="rId787" display="https://my.zakupivli.pro/remote/dispatcher/state_purchase_view/57694863" xr:uid="{00000000-0004-0000-0000-00007D030000}"/>
    <hyperlink ref="B793" r:id="rId788" display="https://my.zakupivli.pro/remote/dispatcher/state_purchase_view/57694235" xr:uid="{00000000-0004-0000-0000-00007E030000}"/>
    <hyperlink ref="B794" r:id="rId789" display="https://my.zakupivli.pro/remote/dispatcher/state_purchase_view/57692844" xr:uid="{00000000-0004-0000-0000-00007F030000}"/>
    <hyperlink ref="B795" r:id="rId790" display="https://my.zakupivli.pro/remote/dispatcher/state_purchase_view/57674843" xr:uid="{00000000-0004-0000-0000-000080030000}"/>
    <hyperlink ref="B796" r:id="rId791" display="https://my.zakupivli.pro/remote/dispatcher/state_purchase_view/57672351" xr:uid="{00000000-0004-0000-0000-000081030000}"/>
    <hyperlink ref="B797" r:id="rId792" display="https://my.zakupivli.pro/remote/dispatcher/state_purchase_view/57671645" xr:uid="{00000000-0004-0000-0000-000082030000}"/>
    <hyperlink ref="B798" r:id="rId793" display="https://my.zakupivli.pro/remote/dispatcher/state_purchase_view/57670248" xr:uid="{00000000-0004-0000-0000-000083030000}"/>
    <hyperlink ref="B799" r:id="rId794" display="https://my.zakupivli.pro/remote/dispatcher/state_purchase_view/57667625" xr:uid="{00000000-0004-0000-0000-000084030000}"/>
    <hyperlink ref="B800" r:id="rId795" display="https://my.zakupivli.pro/remote/dispatcher/state_purchase_view/57667322" xr:uid="{00000000-0004-0000-0000-000085030000}"/>
    <hyperlink ref="B801" r:id="rId796" display="https://my.zakupivli.pro/remote/dispatcher/state_purchase_view/57666840" xr:uid="{00000000-0004-0000-0000-000086030000}"/>
    <hyperlink ref="B802" r:id="rId797" display="https://my.zakupivli.pro/remote/dispatcher/state_purchase_view/57639185" xr:uid="{00000000-0004-0000-0000-000087030000}"/>
    <hyperlink ref="B803" r:id="rId798" display="https://my.zakupivli.pro/remote/dispatcher/state_purchase_view/57638113" xr:uid="{00000000-0004-0000-0000-000088030000}"/>
    <hyperlink ref="B804" r:id="rId799" display="https://my.zakupivli.pro/remote/dispatcher/state_purchase_view/57628283" xr:uid="{00000000-0004-0000-0000-000089030000}"/>
    <hyperlink ref="B805" r:id="rId800" display="https://my.zakupivli.pro/remote/dispatcher/state_purchase_view/57627850" xr:uid="{00000000-0004-0000-0000-00008A030000}"/>
    <hyperlink ref="B806" r:id="rId801" display="https://my.zakupivli.pro/remote/dispatcher/state_purchase_view/57627312" xr:uid="{00000000-0004-0000-0000-00008B030000}"/>
    <hyperlink ref="B807" r:id="rId802" display="https://my.zakupivli.pro/remote/dispatcher/state_purchase_view/57606358" xr:uid="{00000000-0004-0000-0000-00008C030000}"/>
    <hyperlink ref="B808" r:id="rId803" display="https://my.zakupivli.pro/remote/dispatcher/state_purchase_view/57594065" xr:uid="{00000000-0004-0000-0000-00008D030000}"/>
    <hyperlink ref="B809" r:id="rId804" display="https://my.zakupivli.pro/remote/dispatcher/state_purchase_view/57593153" xr:uid="{00000000-0004-0000-0000-00008E030000}"/>
    <hyperlink ref="B810" r:id="rId805" display="https://my.zakupivli.pro/remote/dispatcher/state_purchase_view/57592576" xr:uid="{00000000-0004-0000-0000-00008F030000}"/>
    <hyperlink ref="B811" r:id="rId806" display="https://my.zakupivli.pro/remote/dispatcher/state_purchase_view/57574828" xr:uid="{00000000-0004-0000-0000-000090030000}"/>
    <hyperlink ref="B812" r:id="rId807" display="https://my.zakupivli.pro/remote/dispatcher/state_purchase_view/57574192" xr:uid="{00000000-0004-0000-0000-000091030000}"/>
    <hyperlink ref="B813" r:id="rId808" display="https://my.zakupivli.pro/remote/dispatcher/state_purchase_view/57568540" xr:uid="{00000000-0004-0000-0000-000092030000}"/>
    <hyperlink ref="B814" r:id="rId809" display="https://my.zakupivli.pro/remote/dispatcher/state_purchase_view/57512489" xr:uid="{00000000-0004-0000-0000-000093030000}"/>
    <hyperlink ref="B815" r:id="rId810" display="https://my.zakupivli.pro/remote/dispatcher/state_purchase_view/57505509" xr:uid="{00000000-0004-0000-0000-000094030000}"/>
    <hyperlink ref="B816" r:id="rId811" display="https://my.zakupivli.pro/remote/dispatcher/state_purchase_view/57479591" xr:uid="{00000000-0004-0000-0000-000096030000}"/>
    <hyperlink ref="B817" r:id="rId812" display="https://my.zakupivli.pro/remote/dispatcher/state_purchase_view/57477339" xr:uid="{00000000-0004-0000-0000-000097030000}"/>
    <hyperlink ref="B818" r:id="rId813" display="https://my.zakupivli.pro/remote/dispatcher/state_purchase_view/57460308" xr:uid="{00000000-0004-0000-0000-000099030000}"/>
    <hyperlink ref="B819" r:id="rId814" display="https://my.zakupivli.pro/remote/dispatcher/state_purchase_view/57457672" xr:uid="{00000000-0004-0000-0000-00009A030000}"/>
    <hyperlink ref="B820" r:id="rId815" display="https://my.zakupivli.pro/remote/dispatcher/state_purchase_view/57446257" xr:uid="{00000000-0004-0000-0000-00009C030000}"/>
    <hyperlink ref="B821" r:id="rId816" display="https://my.zakupivli.pro/remote/dispatcher/state_purchase_view/57441894" xr:uid="{00000000-0004-0000-0000-00009D030000}"/>
    <hyperlink ref="B822" r:id="rId817" display="https://my.zakupivli.pro/remote/dispatcher/state_purchase_view/57441205" xr:uid="{00000000-0004-0000-0000-00009E030000}"/>
    <hyperlink ref="B823" r:id="rId818" display="https://my.zakupivli.pro/remote/dispatcher/state_purchase_view/57394389" xr:uid="{00000000-0004-0000-0000-00009F030000}"/>
    <hyperlink ref="B824" r:id="rId819" display="https://my.zakupivli.pro/remote/dispatcher/state_purchase_view/57394318" xr:uid="{00000000-0004-0000-0000-0000A0030000}"/>
    <hyperlink ref="B825" r:id="rId820" display="https://my.zakupivli.pro/remote/dispatcher/state_purchase_view/57394097" xr:uid="{00000000-0004-0000-0000-0000A1030000}"/>
    <hyperlink ref="B826" r:id="rId821" display="https://my.zakupivli.pro/remote/dispatcher/state_purchase_view/57393674" xr:uid="{00000000-0004-0000-0000-0000A2030000}"/>
    <hyperlink ref="B827" r:id="rId822" display="https://my.zakupivli.pro/remote/dispatcher/state_purchase_view/57390786" xr:uid="{00000000-0004-0000-0000-0000A3030000}"/>
    <hyperlink ref="B828" r:id="rId823" display="https://my.zakupivli.pro/remote/dispatcher/state_purchase_view/57389253" xr:uid="{00000000-0004-0000-0000-0000A4030000}"/>
    <hyperlink ref="B829" r:id="rId824" display="https://my.zakupivli.pro/remote/dispatcher/state_purchase_view/57377133" xr:uid="{00000000-0004-0000-0000-0000A7030000}"/>
    <hyperlink ref="B830" r:id="rId825" display="https://my.zakupivli.pro/remote/dispatcher/state_purchase_view/57371827" xr:uid="{00000000-0004-0000-0000-0000A8030000}"/>
    <hyperlink ref="B831" r:id="rId826" display="https://my.zakupivli.pro/remote/dispatcher/state_purchase_view/57352114" xr:uid="{00000000-0004-0000-0000-0000A9030000}"/>
    <hyperlink ref="B832" r:id="rId827" display="https://my.zakupivli.pro/remote/dispatcher/state_purchase_view/57345582" xr:uid="{00000000-0004-0000-0000-0000AB030000}"/>
    <hyperlink ref="B833" r:id="rId828" display="https://my.zakupivli.pro/remote/dispatcher/state_purchase_view/57324803" xr:uid="{00000000-0004-0000-0000-0000AD030000}"/>
    <hyperlink ref="B834" r:id="rId829" display="https://my.zakupivli.pro/remote/dispatcher/state_purchase_view/57304593" xr:uid="{00000000-0004-0000-0000-0000AE030000}"/>
    <hyperlink ref="B835" r:id="rId830" display="https://my.zakupivli.pro/remote/dispatcher/state_purchase_view/57272220" xr:uid="{00000000-0004-0000-0000-0000AF030000}"/>
    <hyperlink ref="B836" r:id="rId831" display="https://my.zakupivli.pro/remote/dispatcher/state_purchase_view/57269953" xr:uid="{00000000-0004-0000-0000-0000B0030000}"/>
    <hyperlink ref="B837" r:id="rId832" display="https://my.zakupivli.pro/remote/dispatcher/state_purchase_view/57263547" xr:uid="{00000000-0004-0000-0000-0000B2030000}"/>
    <hyperlink ref="B838" r:id="rId833" display="https://my.zakupivli.pro/remote/dispatcher/state_purchase_view/57216348" xr:uid="{00000000-0004-0000-0000-0000B3030000}"/>
    <hyperlink ref="B839" r:id="rId834" display="https://my.zakupivli.pro/remote/dispatcher/state_purchase_view/57205941" xr:uid="{00000000-0004-0000-0000-0000B4030000}"/>
    <hyperlink ref="B840" r:id="rId835" display="https://my.zakupivli.pro/remote/dispatcher/state_purchase_view/57205143" xr:uid="{00000000-0004-0000-0000-0000B5030000}"/>
    <hyperlink ref="B841" r:id="rId836" display="https://my.zakupivli.pro/remote/dispatcher/state_purchase_view/57203133" xr:uid="{00000000-0004-0000-0000-0000B6030000}"/>
    <hyperlink ref="B842" r:id="rId837" display="https://my.zakupivli.pro/remote/dispatcher/state_purchase_view/57193860" xr:uid="{00000000-0004-0000-0000-0000B7030000}"/>
    <hyperlink ref="B843" r:id="rId838" display="https://my.zakupivli.pro/remote/dispatcher/state_purchase_view/57193663" xr:uid="{00000000-0004-0000-0000-0000B8030000}"/>
    <hyperlink ref="B844" r:id="rId839" display="https://my.zakupivli.pro/remote/dispatcher/state_purchase_view/57187365" xr:uid="{00000000-0004-0000-0000-0000B9030000}"/>
    <hyperlink ref="B845" r:id="rId840" display="https://my.zakupivli.pro/remote/dispatcher/state_purchase_view/57182464" xr:uid="{00000000-0004-0000-0000-0000BB030000}"/>
    <hyperlink ref="B846" r:id="rId841" display="https://my.zakupivli.pro/remote/dispatcher/state_purchase_view/57154588" xr:uid="{00000000-0004-0000-0000-0000BC030000}"/>
    <hyperlink ref="B847" r:id="rId842" display="https://my.zakupivli.pro/remote/dispatcher/state_purchase_view/57097912" xr:uid="{00000000-0004-0000-0000-0000BE030000}"/>
    <hyperlink ref="B848" r:id="rId843" display="https://my.zakupivli.pro/remote/dispatcher/state_purchase_view/57077565" xr:uid="{00000000-0004-0000-0000-0000BF030000}"/>
    <hyperlink ref="B849" r:id="rId844" display="https://my.zakupivli.pro/remote/dispatcher/state_purchase_view/57073753" xr:uid="{00000000-0004-0000-0000-0000C0030000}"/>
    <hyperlink ref="B850" r:id="rId845" display="https://my.zakupivli.pro/remote/dispatcher/state_purchase_view/57073252" xr:uid="{00000000-0004-0000-0000-0000C1030000}"/>
    <hyperlink ref="B851" r:id="rId846" display="https://my.zakupivli.pro/remote/dispatcher/state_purchase_view/57004262" xr:uid="{00000000-0004-0000-0000-0000C2030000}"/>
    <hyperlink ref="B852" r:id="rId847" display="https://my.zakupivli.pro/remote/dispatcher/state_purchase_view/57004018" xr:uid="{00000000-0004-0000-0000-0000C3030000}"/>
    <hyperlink ref="B853" r:id="rId848" display="https://my.zakupivli.pro/remote/dispatcher/state_purchase_view/56988088" xr:uid="{00000000-0004-0000-0000-0000C4030000}"/>
    <hyperlink ref="B854" r:id="rId849" display="https://my.zakupivli.pro/remote/dispatcher/state_purchase_view/56985694" xr:uid="{00000000-0004-0000-0000-0000C5030000}"/>
    <hyperlink ref="B855" r:id="rId850" display="https://my.zakupivli.pro/remote/dispatcher/state_purchase_view/56979377" xr:uid="{00000000-0004-0000-0000-0000C6030000}"/>
    <hyperlink ref="B856" r:id="rId851" display="https://my.zakupivli.pro/remote/dispatcher/state_purchase_view/56978768" xr:uid="{00000000-0004-0000-0000-0000C7030000}"/>
    <hyperlink ref="B857" r:id="rId852" display="https://my.zakupivli.pro/remote/dispatcher/state_purchase_view/56934840" xr:uid="{00000000-0004-0000-0000-0000C8030000}"/>
    <hyperlink ref="B858" r:id="rId853" display="https://my.zakupivli.pro/remote/dispatcher/state_purchase_view/56934337" xr:uid="{00000000-0004-0000-0000-0000C9030000}"/>
    <hyperlink ref="B859" r:id="rId854" display="https://my.zakupivli.pro/remote/dispatcher/state_purchase_view/56899698" xr:uid="{00000000-0004-0000-0000-0000CA030000}"/>
    <hyperlink ref="B860" r:id="rId855" display="https://my.zakupivli.pro/remote/dispatcher/state_purchase_view/56880066" xr:uid="{00000000-0004-0000-0000-0000CC030000}"/>
    <hyperlink ref="B861" r:id="rId856" display="https://my.zakupivli.pro/remote/dispatcher/state_purchase_view/56879511" xr:uid="{00000000-0004-0000-0000-0000CD030000}"/>
    <hyperlink ref="B862" r:id="rId857" display="https://my.zakupivli.pro/remote/dispatcher/state_purchase_view/56838169" xr:uid="{00000000-0004-0000-0000-0000CE030000}"/>
    <hyperlink ref="B863" r:id="rId858" display="https://my.zakupivli.pro/remote/dispatcher/state_purchase_view/56837120" xr:uid="{00000000-0004-0000-0000-0000CF030000}"/>
    <hyperlink ref="B864" r:id="rId859" display="https://my.zakupivli.pro/remote/dispatcher/state_purchase_view/56835119" xr:uid="{00000000-0004-0000-0000-0000D0030000}"/>
    <hyperlink ref="B865" r:id="rId860" display="https://my.zakupivli.pro/remote/dispatcher/state_purchase_view/56833597" xr:uid="{00000000-0004-0000-0000-0000D1030000}"/>
    <hyperlink ref="B866" r:id="rId861" display="https://my.zakupivli.pro/remote/dispatcher/state_purchase_view/56832154" xr:uid="{00000000-0004-0000-0000-0000D2030000}"/>
    <hyperlink ref="B867" r:id="rId862" display="https://my.zakupivli.pro/remote/dispatcher/state_purchase_view/56831458" xr:uid="{00000000-0004-0000-0000-0000D3030000}"/>
    <hyperlink ref="B868" r:id="rId863" display="https://my.zakupivli.pro/remote/dispatcher/state_purchase_view/56830646" xr:uid="{00000000-0004-0000-0000-0000D4030000}"/>
    <hyperlink ref="B869" r:id="rId864" display="https://my.zakupivli.pro/remote/dispatcher/state_purchase_view/56828269" xr:uid="{00000000-0004-0000-0000-0000D5030000}"/>
    <hyperlink ref="B870" r:id="rId865" display="https://my.zakupivli.pro/remote/dispatcher/state_purchase_view/56826863" xr:uid="{00000000-0004-0000-0000-0000D6030000}"/>
    <hyperlink ref="B871" r:id="rId866" display="https://my.zakupivli.pro/remote/dispatcher/state_purchase_view/56805725" xr:uid="{00000000-0004-0000-0000-0000D7030000}"/>
    <hyperlink ref="B872" r:id="rId867" display="https://my.zakupivli.pro/remote/dispatcher/state_purchase_view/56804769" xr:uid="{00000000-0004-0000-0000-0000D8030000}"/>
    <hyperlink ref="B873" r:id="rId868" display="https://my.zakupivli.pro/remote/dispatcher/state_purchase_view/56803186" xr:uid="{00000000-0004-0000-0000-0000D9030000}"/>
    <hyperlink ref="B874" r:id="rId869" display="https://my.zakupivli.pro/remote/dispatcher/state_purchase_view/56799193" xr:uid="{00000000-0004-0000-0000-0000DA030000}"/>
    <hyperlink ref="B875" r:id="rId870" display="https://my.zakupivli.pro/remote/dispatcher/state_purchase_view/56797961" xr:uid="{00000000-0004-0000-0000-0000DB030000}"/>
    <hyperlink ref="B876" r:id="rId871" display="https://my.zakupivli.pro/remote/dispatcher/state_purchase_view/56797114" xr:uid="{00000000-0004-0000-0000-0000DC030000}"/>
    <hyperlink ref="B877" r:id="rId872" display="https://my.zakupivli.pro/remote/dispatcher/state_purchase_view/56796005" xr:uid="{00000000-0004-0000-0000-0000DD030000}"/>
    <hyperlink ref="B878" r:id="rId873" display="https://my.zakupivli.pro/remote/dispatcher/state_purchase_view/56766779" xr:uid="{00000000-0004-0000-0000-0000DE030000}"/>
    <hyperlink ref="B879" r:id="rId874" display="https://my.zakupivli.pro/remote/dispatcher/state_purchase_view/56761726" xr:uid="{00000000-0004-0000-0000-0000DF030000}"/>
    <hyperlink ref="B880" r:id="rId875" display="https://my.zakupivli.pro/remote/dispatcher/state_purchase_view/56739252" xr:uid="{00000000-0004-0000-0000-0000E0030000}"/>
    <hyperlink ref="B881" r:id="rId876" display="https://my.zakupivli.pro/remote/dispatcher/state_purchase_view/56735420" xr:uid="{00000000-0004-0000-0000-0000E1030000}"/>
    <hyperlink ref="B882" r:id="rId877" display="https://my.zakupivli.pro/remote/dispatcher/state_purchase_view/56727046" xr:uid="{00000000-0004-0000-0000-0000E2030000}"/>
    <hyperlink ref="B883" r:id="rId878" display="https://my.zakupivli.pro/remote/dispatcher/state_purchase_view/56700999" xr:uid="{00000000-0004-0000-0000-0000E3030000}"/>
    <hyperlink ref="B884" r:id="rId879" display="https://my.zakupivli.pro/remote/dispatcher/state_purchase_view/56700212" xr:uid="{00000000-0004-0000-0000-0000E4030000}"/>
    <hyperlink ref="B885" r:id="rId880" display="https://my.zakupivli.pro/remote/dispatcher/state_purchase_view/56699074" xr:uid="{00000000-0004-0000-0000-0000E5030000}"/>
    <hyperlink ref="B886" r:id="rId881" display="https://my.zakupivli.pro/remote/dispatcher/state_purchase_view/56698576" xr:uid="{00000000-0004-0000-0000-0000E6030000}"/>
    <hyperlink ref="B887" r:id="rId882" display="https://my.zakupivli.pro/remote/dispatcher/state_purchase_view/56698303" xr:uid="{00000000-0004-0000-0000-0000E7030000}"/>
    <hyperlink ref="B888" r:id="rId883" display="https://my.zakupivli.pro/remote/dispatcher/state_purchase_view/56697822" xr:uid="{00000000-0004-0000-0000-0000E8030000}"/>
    <hyperlink ref="B889" r:id="rId884" display="https://my.zakupivli.pro/remote/dispatcher/state_purchase_view/56697510" xr:uid="{00000000-0004-0000-0000-0000E9030000}"/>
    <hyperlink ref="B890" r:id="rId885" display="https://my.zakupivli.pro/remote/dispatcher/state_purchase_view/56697090" xr:uid="{00000000-0004-0000-0000-0000EA030000}"/>
    <hyperlink ref="B891" r:id="rId886" display="https://my.zakupivli.pro/remote/dispatcher/state_purchase_view/56696825" xr:uid="{00000000-0004-0000-0000-0000EB030000}"/>
    <hyperlink ref="B892" r:id="rId887" display="https://my.zakupivli.pro/remote/dispatcher/state_purchase_view/56691308" xr:uid="{00000000-0004-0000-0000-0000EC030000}"/>
    <hyperlink ref="B893" r:id="rId888" display="https://my.zakupivli.pro/remote/dispatcher/state_purchase_view/56690153" xr:uid="{00000000-0004-0000-0000-0000ED030000}"/>
    <hyperlink ref="B894" r:id="rId889" display="https://my.zakupivli.pro/remote/dispatcher/state_purchase_view/56688544" xr:uid="{00000000-0004-0000-0000-0000EE030000}"/>
    <hyperlink ref="B895" r:id="rId890" display="https://my.zakupivli.pro/remote/dispatcher/state_purchase_view/56686763" xr:uid="{00000000-0004-0000-0000-0000EF030000}"/>
    <hyperlink ref="B896" r:id="rId891" display="https://my.zakupivli.pro/remote/dispatcher/state_purchase_view/56685926" xr:uid="{00000000-0004-0000-0000-0000F0030000}"/>
    <hyperlink ref="B897" r:id="rId892" display="https://my.zakupivli.pro/remote/dispatcher/state_purchase_view/56656193" xr:uid="{00000000-0004-0000-0000-0000F1030000}"/>
    <hyperlink ref="B898" r:id="rId893" display="https://my.zakupivli.pro/remote/dispatcher/state_purchase_view/56654990" xr:uid="{00000000-0004-0000-0000-0000F2030000}"/>
    <hyperlink ref="B899" r:id="rId894" display="https://my.zakupivli.pro/remote/dispatcher/state_purchase_view/56654439" xr:uid="{00000000-0004-0000-0000-0000F3030000}"/>
    <hyperlink ref="B900" r:id="rId895" display="https://my.zakupivli.pro/remote/dispatcher/state_purchase_view/56647878" xr:uid="{00000000-0004-0000-0000-0000F4030000}"/>
    <hyperlink ref="B901" r:id="rId896" display="https://my.zakupivli.pro/remote/dispatcher/state_purchase_view/56645897" xr:uid="{00000000-0004-0000-0000-0000F5030000}"/>
    <hyperlink ref="B902" r:id="rId897" display="https://my.zakupivli.pro/remote/dispatcher/state_purchase_view/56618329" xr:uid="{00000000-0004-0000-0000-0000F6030000}"/>
    <hyperlink ref="B903" r:id="rId898" display="https://my.zakupivli.pro/remote/dispatcher/state_purchase_view/56616658" xr:uid="{00000000-0004-0000-0000-0000F7030000}"/>
    <hyperlink ref="B904" r:id="rId899" display="https://my.zakupivli.pro/remote/dispatcher/state_purchase_view/56615123" xr:uid="{00000000-0004-0000-0000-0000F8030000}"/>
    <hyperlink ref="B905" r:id="rId900" display="https://my.zakupivli.pro/remote/dispatcher/state_purchase_view/56613757" xr:uid="{00000000-0004-0000-0000-0000F9030000}"/>
    <hyperlink ref="B906" r:id="rId901" display="https://my.zakupivli.pro/remote/dispatcher/state_purchase_view/56612053" xr:uid="{00000000-0004-0000-0000-0000FA030000}"/>
    <hyperlink ref="B907" r:id="rId902" display="https://my.zakupivli.pro/remote/dispatcher/state_purchase_view/56610625" xr:uid="{00000000-0004-0000-0000-0000FB030000}"/>
    <hyperlink ref="B908" r:id="rId903" display="https://my.zakupivli.pro/remote/dispatcher/state_purchase_view/56606163" xr:uid="{00000000-0004-0000-0000-0000FC030000}"/>
    <hyperlink ref="B909" r:id="rId904" display="https://my.zakupivli.pro/remote/dispatcher/state_purchase_view/56601141" xr:uid="{00000000-0004-0000-0000-0000FD030000}"/>
    <hyperlink ref="B910" r:id="rId905" display="https://my.zakupivli.pro/remote/dispatcher/state_purchase_view/56551585" xr:uid="{00000000-0004-0000-0000-0000FE030000}"/>
    <hyperlink ref="B911" r:id="rId906" display="https://my.zakupivli.pro/remote/dispatcher/state_purchase_view/56547318" xr:uid="{00000000-0004-0000-0000-0000FF030000}"/>
    <hyperlink ref="B912" r:id="rId907" display="https://my.zakupivli.pro/remote/dispatcher/state_purchase_view/56546951" xr:uid="{00000000-0004-0000-0000-000000040000}"/>
    <hyperlink ref="B913" r:id="rId908" display="https://my.zakupivli.pro/remote/dispatcher/state_purchase_view/56546465" xr:uid="{00000000-0004-0000-0000-000001040000}"/>
    <hyperlink ref="B914" r:id="rId909" display="https://my.zakupivli.pro/remote/dispatcher/state_purchase_view/56545949" xr:uid="{00000000-0004-0000-0000-000002040000}"/>
    <hyperlink ref="B915" r:id="rId910" display="https://my.zakupivli.pro/remote/dispatcher/state_purchase_view/56545461" xr:uid="{00000000-0004-0000-0000-000003040000}"/>
    <hyperlink ref="B916" r:id="rId911" display="https://my.zakupivli.pro/remote/dispatcher/state_purchase_view/56534212" xr:uid="{00000000-0004-0000-0000-000004040000}"/>
    <hyperlink ref="B917" r:id="rId912" display="https://my.zakupivli.pro/remote/dispatcher/state_purchase_view/56532352" xr:uid="{00000000-0004-0000-0000-000005040000}"/>
    <hyperlink ref="B918" r:id="rId913" display="https://my.zakupivli.pro/remote/dispatcher/state_purchase_view/56529631" xr:uid="{00000000-0004-0000-0000-000006040000}"/>
    <hyperlink ref="B919" r:id="rId914" display="https://my.zakupivli.pro/remote/dispatcher/state_purchase_view/56527841" xr:uid="{00000000-0004-0000-0000-000007040000}"/>
    <hyperlink ref="B920" r:id="rId915" display="https://my.zakupivli.pro/remote/dispatcher/state_purchase_view/56526165" xr:uid="{00000000-0004-0000-0000-000008040000}"/>
    <hyperlink ref="B921" r:id="rId916" display="https://my.zakupivli.pro/remote/dispatcher/state_purchase_view/56524045" xr:uid="{00000000-0004-0000-0000-000009040000}"/>
    <hyperlink ref="B922" r:id="rId917" display="https://my.zakupivli.pro/remote/dispatcher/state_purchase_view/56522340" xr:uid="{00000000-0004-0000-0000-00000A040000}"/>
    <hyperlink ref="B923" r:id="rId918" display="https://my.zakupivli.pro/remote/dispatcher/state_purchase_view/56512858" xr:uid="{00000000-0004-0000-0000-00000B040000}"/>
    <hyperlink ref="B924" r:id="rId919" display="https://my.zakupivli.pro/remote/dispatcher/state_purchase_view/56506156" xr:uid="{00000000-0004-0000-0000-00000C040000}"/>
    <hyperlink ref="B925" r:id="rId920" display="https://my.zakupivli.pro/remote/dispatcher/state_purchase_view/56459602" xr:uid="{00000000-0004-0000-0000-00000D040000}"/>
    <hyperlink ref="B926" r:id="rId921" display="https://my.zakupivli.pro/remote/dispatcher/state_purchase_view/56458883" xr:uid="{00000000-0004-0000-0000-00000E040000}"/>
    <hyperlink ref="B927" r:id="rId922" display="https://my.zakupivli.pro/remote/dispatcher/state_purchase_view/56457196" xr:uid="{00000000-0004-0000-0000-000010040000}"/>
    <hyperlink ref="B928" r:id="rId923" display="https://my.zakupivli.pro/remote/dispatcher/state_purchase_view/56457005" xr:uid="{00000000-0004-0000-0000-000011040000}"/>
    <hyperlink ref="B929" r:id="rId924" display="https://my.zakupivli.pro/remote/dispatcher/state_purchase_view/56453333" xr:uid="{00000000-0004-0000-0000-000012040000}"/>
    <hyperlink ref="B930" r:id="rId925" display="https://my.zakupivli.pro/remote/dispatcher/state_purchase_view/56443185" xr:uid="{00000000-0004-0000-0000-000013040000}"/>
    <hyperlink ref="B931" r:id="rId926" display="https://my.zakupivli.pro/remote/dispatcher/state_purchase_view/56442673" xr:uid="{00000000-0004-0000-0000-000014040000}"/>
    <hyperlink ref="B932" r:id="rId927" display="https://my.zakupivli.pro/remote/dispatcher/state_purchase_view/56435741" xr:uid="{00000000-0004-0000-0000-000015040000}"/>
    <hyperlink ref="B933" r:id="rId928" display="https://my.zakupivli.pro/remote/dispatcher/state_purchase_view/56435513" xr:uid="{00000000-0004-0000-0000-000016040000}"/>
    <hyperlink ref="B934" r:id="rId929" display="https://my.zakupivli.pro/remote/dispatcher/state_purchase_view/56434719" xr:uid="{00000000-0004-0000-0000-000017040000}"/>
    <hyperlink ref="B935" r:id="rId930" display="https://my.zakupivli.pro/remote/dispatcher/state_purchase_view/56434582" xr:uid="{00000000-0004-0000-0000-000018040000}"/>
    <hyperlink ref="B936" r:id="rId931" display="https://my.zakupivli.pro/remote/dispatcher/state_purchase_view/56433745" xr:uid="{00000000-0004-0000-0000-000019040000}"/>
    <hyperlink ref="B937" r:id="rId932" display="https://my.zakupivli.pro/remote/dispatcher/state_purchase_view/56433549" xr:uid="{00000000-0004-0000-0000-00001A040000}"/>
    <hyperlink ref="B938" r:id="rId933" display="https://my.zakupivli.pro/remote/dispatcher/state_purchase_view/56432532" xr:uid="{00000000-0004-0000-0000-00001B040000}"/>
    <hyperlink ref="B939" r:id="rId934" display="https://my.zakupivli.pro/remote/dispatcher/state_purchase_view/56432268" xr:uid="{00000000-0004-0000-0000-00001C040000}"/>
    <hyperlink ref="B940" r:id="rId935" display="https://my.zakupivli.pro/remote/dispatcher/state_purchase_view/56431878" xr:uid="{00000000-0004-0000-0000-00001D040000}"/>
    <hyperlink ref="B941" r:id="rId936" display="https://my.zakupivli.pro/remote/dispatcher/state_purchase_view/56431281" xr:uid="{00000000-0004-0000-0000-00001E040000}"/>
    <hyperlink ref="B942" r:id="rId937" display="https://my.zakupivli.pro/remote/dispatcher/state_purchase_view/56427764" xr:uid="{00000000-0004-0000-0000-00001F040000}"/>
    <hyperlink ref="B943" r:id="rId938" display="https://my.zakupivli.pro/remote/dispatcher/state_purchase_view/56427275" xr:uid="{00000000-0004-0000-0000-000020040000}"/>
    <hyperlink ref="B944" r:id="rId939" display="https://my.zakupivli.pro/remote/dispatcher/state_purchase_view/56403301" xr:uid="{00000000-0004-0000-0000-000021040000}"/>
    <hyperlink ref="B945" r:id="rId940" display="https://my.zakupivli.pro/remote/dispatcher/state_purchase_view/56401884" xr:uid="{00000000-0004-0000-0000-000022040000}"/>
    <hyperlink ref="B946" r:id="rId941" display="https://my.zakupivli.pro/remote/dispatcher/state_purchase_view/56401668" xr:uid="{00000000-0004-0000-0000-000023040000}"/>
    <hyperlink ref="B947" r:id="rId942" display="https://my.zakupivli.pro/remote/dispatcher/state_purchase_view/56400999" xr:uid="{00000000-0004-0000-0000-000024040000}"/>
    <hyperlink ref="B948" r:id="rId943" display="https://my.zakupivli.pro/remote/dispatcher/state_purchase_view/56400517" xr:uid="{00000000-0004-0000-0000-000025040000}"/>
    <hyperlink ref="B949" r:id="rId944" display="https://my.zakupivli.pro/remote/dispatcher/state_purchase_view/56398034" xr:uid="{00000000-0004-0000-0000-000026040000}"/>
    <hyperlink ref="B950" r:id="rId945" display="https://my.zakupivli.pro/remote/dispatcher/state_purchase_view/56388197" xr:uid="{00000000-0004-0000-0000-000027040000}"/>
    <hyperlink ref="B951" r:id="rId946" display="https://my.zakupivli.pro/remote/dispatcher/state_purchase_view/56387916" xr:uid="{00000000-0004-0000-0000-000028040000}"/>
    <hyperlink ref="B952" r:id="rId947" display="https://my.zakupivli.pro/remote/dispatcher/state_purchase_view/56387391" xr:uid="{00000000-0004-0000-0000-000029040000}"/>
    <hyperlink ref="B953" r:id="rId948" display="https://my.zakupivli.pro/remote/dispatcher/state_purchase_view/56386998" xr:uid="{00000000-0004-0000-0000-00002A040000}"/>
    <hyperlink ref="B954" r:id="rId949" display="https://my.zakupivli.pro/remote/dispatcher/state_purchase_view/56386468" xr:uid="{00000000-0004-0000-0000-00002B040000}"/>
    <hyperlink ref="B955" r:id="rId950" display="https://my.zakupivli.pro/remote/dispatcher/state_purchase_view/56380990" xr:uid="{00000000-0004-0000-0000-00002C040000}"/>
    <hyperlink ref="B956" r:id="rId951" display="https://my.zakupivli.pro/remote/dispatcher/state_purchase_view/56380675" xr:uid="{00000000-0004-0000-0000-00002D040000}"/>
    <hyperlink ref="B957" r:id="rId952" display="https://my.zakupivli.pro/remote/dispatcher/state_purchase_view/56380003" xr:uid="{00000000-0004-0000-0000-00002E040000}"/>
    <hyperlink ref="B958" r:id="rId953" display="https://my.zakupivli.pro/remote/dispatcher/state_purchase_view/56375711" xr:uid="{00000000-0004-0000-0000-000031040000}"/>
    <hyperlink ref="B959" r:id="rId954" display="https://my.zakupivli.pro/remote/dispatcher/state_purchase_view/56375379" xr:uid="{00000000-0004-0000-0000-000032040000}"/>
    <hyperlink ref="B960" r:id="rId955" display="https://my.zakupivli.pro/remote/dispatcher/state_purchase_view/56374727" xr:uid="{00000000-0004-0000-0000-000033040000}"/>
    <hyperlink ref="B961" r:id="rId956" display="https://my.zakupivli.pro/remote/dispatcher/state_purchase_view/56374482" xr:uid="{00000000-0004-0000-0000-000034040000}"/>
    <hyperlink ref="B962" r:id="rId957" display="https://my.zakupivli.pro/remote/dispatcher/state_purchase_view/56374145" xr:uid="{00000000-0004-0000-0000-000035040000}"/>
    <hyperlink ref="B963" r:id="rId958" display="https://my.zakupivli.pro/remote/dispatcher/state_purchase_view/56373376" xr:uid="{00000000-0004-0000-0000-000036040000}"/>
    <hyperlink ref="B964" r:id="rId959" display="https://my.zakupivli.pro/remote/dispatcher/state_purchase_view/56305154" xr:uid="{00000000-0004-0000-0000-000037040000}"/>
    <hyperlink ref="B965" r:id="rId960" display="https://my.zakupivli.pro/remote/dispatcher/state_purchase_view/56300815" xr:uid="{00000000-0004-0000-0000-000038040000}"/>
    <hyperlink ref="B966" r:id="rId961" display="https://my.zakupivli.pro/remote/dispatcher/state_purchase_view/56290126" xr:uid="{00000000-0004-0000-0000-00003A040000}"/>
    <hyperlink ref="B967" r:id="rId962" display="https://my.zakupivli.pro/remote/dispatcher/state_purchase_view/56283289" xr:uid="{00000000-0004-0000-0000-00003C040000}"/>
    <hyperlink ref="B968" r:id="rId963" display="https://my.zakupivli.pro/remote/dispatcher/state_purchase_view/56282713" xr:uid="{00000000-0004-0000-0000-00003D040000}"/>
    <hyperlink ref="B969" r:id="rId964" display="https://my.zakupivli.pro/remote/dispatcher/state_purchase_view/56282275" xr:uid="{00000000-0004-0000-0000-00003E040000}"/>
    <hyperlink ref="B970" r:id="rId965" display="https://my.zakupivli.pro/remote/dispatcher/state_purchase_view/56280465" xr:uid="{00000000-0004-0000-0000-00003F040000}"/>
    <hyperlink ref="B971" r:id="rId966" display="https://my.zakupivli.pro/remote/dispatcher/state_purchase_view/56238816" xr:uid="{00000000-0004-0000-0000-000040040000}"/>
    <hyperlink ref="B972" r:id="rId967" display="https://my.zakupivli.pro/remote/dispatcher/state_purchase_view/56196564" xr:uid="{00000000-0004-0000-0000-000043040000}"/>
    <hyperlink ref="B973" r:id="rId968" display="https://my.zakupivli.pro/remote/dispatcher/state_purchase_view/56195997" xr:uid="{00000000-0004-0000-0000-000044040000}"/>
    <hyperlink ref="B974" r:id="rId969" display="https://my.zakupivli.pro/remote/dispatcher/state_purchase_view/56193147" xr:uid="{00000000-0004-0000-0000-000045040000}"/>
    <hyperlink ref="B975" r:id="rId970" display="https://my.zakupivli.pro/remote/dispatcher/state_purchase_view/56177436" xr:uid="{00000000-0004-0000-0000-000046040000}"/>
    <hyperlink ref="B976" r:id="rId971" display="https://my.zakupivli.pro/remote/dispatcher/state_purchase_view/56148543" xr:uid="{00000000-0004-0000-0000-000047040000}"/>
    <hyperlink ref="B977" r:id="rId972" display="https://my.zakupivli.pro/remote/dispatcher/state_purchase_view/56034655" xr:uid="{00000000-0004-0000-0000-000049040000}"/>
    <hyperlink ref="B978" r:id="rId973" display="https://my.zakupivli.pro/remote/dispatcher/state_purchase_view/55936412" xr:uid="{00000000-0004-0000-0000-00004A040000}"/>
    <hyperlink ref="B979" r:id="rId974" display="https://my.zakupivli.pro/remote/dispatcher/state_purchase_view/55934705" xr:uid="{00000000-0004-0000-0000-00004B040000}"/>
    <hyperlink ref="B980" r:id="rId975" display="https://my.zakupivli.pro/remote/dispatcher/state_purchase_view/55897185" xr:uid="{00000000-0004-0000-0000-00004D040000}"/>
    <hyperlink ref="B981" r:id="rId976" display="https://my.zakupivli.pro/remote/dispatcher/state_purchase_view/55834756" xr:uid="{00000000-0004-0000-0000-00004E040000}"/>
    <hyperlink ref="B982" r:id="rId977" display="https://my.zakupivli.pro/remote/dispatcher/state_purchase_view/55734217" xr:uid="{00000000-0004-0000-0000-00004F040000}"/>
    <hyperlink ref="B983" r:id="rId978" display="https://my.zakupivli.pro/remote/dispatcher/state_purchase_view/55732084" xr:uid="{00000000-0004-0000-0000-000050040000}"/>
    <hyperlink ref="B984" r:id="rId979" display="https://my.zakupivli.pro/remote/dispatcher/state_purchase_view/55730428" xr:uid="{00000000-0004-0000-0000-000051040000}"/>
    <hyperlink ref="B985" r:id="rId980" display="https://my.zakupivli.pro/remote/dispatcher/state_purchase_view/55729117" xr:uid="{00000000-0004-0000-0000-000052040000}"/>
    <hyperlink ref="B986" r:id="rId981" display="https://my.zakupivli.pro/remote/dispatcher/state_purchase_view/55643491" xr:uid="{00000000-0004-0000-0000-000053040000}"/>
    <hyperlink ref="B987" r:id="rId982" display="https://my.zakupivli.pro/remote/dispatcher/state_purchase_view/55622300" xr:uid="{00000000-0004-0000-0000-000054040000}"/>
    <hyperlink ref="B988" r:id="rId983" display="https://my.zakupivli.pro/remote/dispatcher/state_purchase_view/55620556" xr:uid="{00000000-0004-0000-0000-000055040000}"/>
    <hyperlink ref="B989" r:id="rId984" display="https://my.zakupivli.pro/remote/dispatcher/state_purchase_view/55620049" xr:uid="{00000000-0004-0000-0000-000056040000}"/>
    <hyperlink ref="B990" r:id="rId985" display="https://my.zakupivli.pro/remote/dispatcher/state_purchase_view/55618889" xr:uid="{00000000-0004-0000-0000-000057040000}"/>
    <hyperlink ref="B991" r:id="rId986" display="https://my.zakupivli.pro/remote/dispatcher/state_purchase_view/55617780" xr:uid="{00000000-0004-0000-0000-000058040000}"/>
    <hyperlink ref="B992" r:id="rId987" display="https://my.zakupivli.pro/remote/dispatcher/state_purchase_view/55592837" xr:uid="{00000000-0004-0000-0000-000059040000}"/>
    <hyperlink ref="B993" r:id="rId988" display="https://my.zakupivli.pro/remote/dispatcher/state_purchase_view/55429365" xr:uid="{00000000-0004-0000-0000-00005A040000}"/>
    <hyperlink ref="B994" r:id="rId989" display="https://my.zakupivli.pro/remote/dispatcher/state_purchase_view/55400951" xr:uid="{00000000-0004-0000-0000-00005B040000}"/>
    <hyperlink ref="B995" r:id="rId990" display="https://my.zakupivli.pro/remote/dispatcher/state_purchase_view/55386463" xr:uid="{00000000-0004-0000-0000-00005C040000}"/>
    <hyperlink ref="B996" r:id="rId991" display="https://my.zakupivli.pro/remote/dispatcher/state_purchase_view/55383761" xr:uid="{00000000-0004-0000-0000-00005E040000}"/>
    <hyperlink ref="B997" r:id="rId992" display="https://my.zakupivli.pro/remote/dispatcher/state_purchase_view/55383597" xr:uid="{00000000-0004-0000-0000-000060040000}"/>
    <hyperlink ref="B998" r:id="rId993" display="https://my.zakupivli.pro/remote/dispatcher/state_purchase_view/55353204" xr:uid="{00000000-0004-0000-0000-000061040000}"/>
    <hyperlink ref="B999" r:id="rId994" display="https://my.zakupivli.pro/remote/dispatcher/state_purchase_view/55339955" xr:uid="{00000000-0004-0000-0000-000064040000}"/>
    <hyperlink ref="B1000" r:id="rId995" display="https://my.zakupivli.pro/remote/dispatcher/state_purchase_view/55298929" xr:uid="{00000000-0004-0000-0000-000065040000}"/>
    <hyperlink ref="B1001" r:id="rId996" display="https://my.zakupivli.pro/remote/dispatcher/state_purchase_view/55267594" xr:uid="{00000000-0004-0000-0000-000067040000}"/>
    <hyperlink ref="B1002" r:id="rId997" display="https://my.zakupivli.pro/remote/dispatcher/state_purchase_view/55255035" xr:uid="{00000000-0004-0000-0000-000068040000}"/>
    <hyperlink ref="B1003" r:id="rId998" display="https://my.zakupivli.pro/remote/dispatcher/state_purchase_view/55254150" xr:uid="{00000000-0004-0000-0000-000069040000}"/>
    <hyperlink ref="B1004" r:id="rId999" display="https://my.zakupivli.pro/remote/dispatcher/state_purchase_view/55252543" xr:uid="{00000000-0004-0000-0000-00006A040000}"/>
    <hyperlink ref="B1005" r:id="rId1000" display="https://my.zakupivli.pro/remote/dispatcher/state_purchase_view/55236093" xr:uid="{00000000-0004-0000-0000-00006B040000}"/>
    <hyperlink ref="B1006" r:id="rId1001" display="https://my.zakupivli.pro/remote/dispatcher/state_purchase_view/55235333" xr:uid="{00000000-0004-0000-0000-00006C040000}"/>
  </hyperlinks>
  <pageMargins left="0.75" right="0.75" top="1" bottom="1" header="0.5" footer="0.5"/>
  <pageSetup paperSize="9" orientation="portrait" r:id="rId1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Unknown</dc:creator>
  <cp:keywords/>
  <dc:description/>
  <cp:lastModifiedBy>Коновал Людмила Анатоліївна</cp:lastModifiedBy>
  <dcterms:created xsi:type="dcterms:W3CDTF">2026-06-01T09:16:26Z</dcterms:created>
  <dcterms:modified xsi:type="dcterms:W3CDTF">2026-06-01T11:39:06Z</dcterms:modified>
  <cp:category/>
</cp:coreProperties>
</file>