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ДІЯ 2025\Діючі договори\"/>
    </mc:Choice>
  </mc:AlternateContent>
  <xr:revisionPtr revIDLastSave="0" documentId="13_ncr:1_{0A8D0086-B45E-4918-893B-0FE397C539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definedNames>
    <definedName name="_xlnm._FilterDatabase" localSheetId="0" hidden="1">Sheet!$A$4:$P$367</definedName>
  </definedNames>
  <calcPr calcId="191029"/>
</workbook>
</file>

<file path=xl/calcChain.xml><?xml version="1.0" encoding="utf-8"?>
<calcChain xmlns="http://schemas.openxmlformats.org/spreadsheetml/2006/main">
  <c r="C366" i="1" l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</calcChain>
</file>

<file path=xl/sharedStrings.xml><?xml version="1.0" encoding="utf-8"?>
<sst xmlns="http://schemas.openxmlformats.org/spreadsheetml/2006/main" count="3639" uniqueCount="1374">
  <si>
    <t xml:space="preserve">  Розподіл електричної енергії</t>
  </si>
  <si>
    <t xml:space="preserve"> Ганг Alfabeto Jupiter 2212-SR</t>
  </si>
  <si>
    <t xml:space="preserve"> Ганг Alfabeto Jupiter 2212-SR(Музичні інструменти код ДК 021:2015-373100004)</t>
  </si>
  <si>
    <t xml:space="preserve"> Електрична енергія  (з супутніми послугами її передачі та розподілу)</t>
  </si>
  <si>
    <t xml:space="preserve"> Електрична енергія ДК 021:2015 - 09310000-5 (з супутніми послугами її передачі та розподілу)</t>
  </si>
  <si>
    <t xml:space="preserve"> Послуги з централізованого водопостачання</t>
  </si>
  <si>
    <t xml:space="preserve"> Послуги з централізованого водопостачання код ДК 021:2025 -65110000 - 7 - Розподіл води</t>
  </si>
  <si>
    <t xml:space="preserve"> Послуги із забезпечення перетікань реактивної електричної енергії
</t>
  </si>
  <si>
    <t xml:space="preserve"> Розподіл води (Послуги з централізованого водопостачання та централізованого водовідведення )</t>
  </si>
  <si>
    <t xml:space="preserve"> Розподіл електричної енергії (послуги із забезпечення перетікань реактивної електричної енергії)</t>
  </si>
  <si>
    <t>00131819</t>
  </si>
  <si>
    <t>0021</t>
  </si>
  <si>
    <t>004/009-030524/03МА</t>
  </si>
  <si>
    <t>004/009-033467/03МА</t>
  </si>
  <si>
    <t>004/009-071146/03МА</t>
  </si>
  <si>
    <t>004/009-200152/03МА</t>
  </si>
  <si>
    <t>004/009/002-0003831/001МЮ</t>
  </si>
  <si>
    <t>004/009/002-0004183/001МЮ</t>
  </si>
  <si>
    <t>004/009/002-0008341/001МЮ</t>
  </si>
  <si>
    <t>004/009/002-009046/001МЮ</t>
  </si>
  <si>
    <t>004/25</t>
  </si>
  <si>
    <t>004280384ec5441caca6311e56f6eeb3</t>
  </si>
  <si>
    <t>01/01/26</t>
  </si>
  <si>
    <t>01/06</t>
  </si>
  <si>
    <t>01186975</t>
  </si>
  <si>
    <t>0127c3bef52b43cd8465f4ba9da55cfe</t>
  </si>
  <si>
    <t>0146899b95104fbd9d616e7faa5d4529</t>
  </si>
  <si>
    <t>01d6ae809ef949848f86dab0e6abff6a</t>
  </si>
  <si>
    <t>01f2c9c4db184f3f971837c16cf1efd8</t>
  </si>
  <si>
    <t>02/04/25</t>
  </si>
  <si>
    <t>0258aa732ff448d195f4d08578c860a5</t>
  </si>
  <si>
    <t>026/25</t>
  </si>
  <si>
    <t>02944892</t>
  </si>
  <si>
    <t>02\04</t>
  </si>
  <si>
    <t>02a05a19037f4574a86340f0ce51ec36</t>
  </si>
  <si>
    <t>03338030</t>
  </si>
  <si>
    <t>03351823</t>
  </si>
  <si>
    <t>03361661</t>
  </si>
  <si>
    <t>03363358</t>
  </si>
  <si>
    <t>034cfd76749b4730b5fdf2df49b01a2c</t>
  </si>
  <si>
    <t>0396785783224e8c98db1d946c7343bb</t>
  </si>
  <si>
    <t>03b6873b6268405f9037476b49d79db2</t>
  </si>
  <si>
    <t>041225</t>
  </si>
  <si>
    <t>05/04</t>
  </si>
  <si>
    <t>05/08</t>
  </si>
  <si>
    <t>061124</t>
  </si>
  <si>
    <t>0611242</t>
  </si>
  <si>
    <t>063/25</t>
  </si>
  <si>
    <t>06346595dc4647028844db18a1e3e9bb</t>
  </si>
  <si>
    <t>07aa85df179c423a901b099246f25943</t>
  </si>
  <si>
    <t>08804689</t>
  </si>
  <si>
    <t>09130000-9 Нафта і дистиляти</t>
  </si>
  <si>
    <t>091ce9a18e4e4642a0cf8c239ecd0190</t>
  </si>
  <si>
    <t>09310000-5 Електрична енергія</t>
  </si>
  <si>
    <t>09320000-8 Пара, гаряча вода та пов’язана продукція</t>
  </si>
  <si>
    <t>09d1dc06ad4d4d1d821d4d43ecda47af</t>
  </si>
  <si>
    <t>0a2e8cfec43a422e8f7a7f491a6f236a</t>
  </si>
  <si>
    <t>0a8508ab751f451b9d668ebdcae08754</t>
  </si>
  <si>
    <t>0b00dc76ddc04c3cb89fd95f7d4826f2</t>
  </si>
  <si>
    <t>0b396caa087341c99e943225e2ab4f26</t>
  </si>
  <si>
    <t>0cdb1ae867ae4289bf6c5180c77d01ae</t>
  </si>
  <si>
    <t>1</t>
  </si>
  <si>
    <t>1/10</t>
  </si>
  <si>
    <t>1/11</t>
  </si>
  <si>
    <t>1/24</t>
  </si>
  <si>
    <t>10</t>
  </si>
  <si>
    <t>10/2024</t>
  </si>
  <si>
    <t>10/2025</t>
  </si>
  <si>
    <t>100</t>
  </si>
  <si>
    <t>100a8685877f4e9a85a4481eab13a6e3</t>
  </si>
  <si>
    <t>1049/1030юр</t>
  </si>
  <si>
    <t>10645976899f4a8e9a6f929bc7ed5c7a</t>
  </si>
  <si>
    <t>108</t>
  </si>
  <si>
    <t>11</t>
  </si>
  <si>
    <t>11/2023</t>
  </si>
  <si>
    <t>11/2024</t>
  </si>
  <si>
    <t>11/2025</t>
  </si>
  <si>
    <t>1133</t>
  </si>
  <si>
    <t>113b08180a844b12b971c89b6b965939</t>
  </si>
  <si>
    <t>1141</t>
  </si>
  <si>
    <t>11904adedf5c41219db636a3069f5528</t>
  </si>
  <si>
    <t>11bdc709669a4c5dbb99ea9dd4844f63</t>
  </si>
  <si>
    <t>12</t>
  </si>
  <si>
    <t>12/2023</t>
  </si>
  <si>
    <t>12/2024</t>
  </si>
  <si>
    <t>12/2025</t>
  </si>
  <si>
    <t>124</t>
  </si>
  <si>
    <t>13</t>
  </si>
  <si>
    <t>13/09/25</t>
  </si>
  <si>
    <t>13b0ffcf623a4e8cbc11b8f3351eac34</t>
  </si>
  <si>
    <t>14</t>
  </si>
  <si>
    <t>14/07</t>
  </si>
  <si>
    <t>14/2023</t>
  </si>
  <si>
    <t>14/2024</t>
  </si>
  <si>
    <t>141139</t>
  </si>
  <si>
    <t>14210000-6 Гравій, пісок, щебінь і наповнювачі</t>
  </si>
  <si>
    <t>14410000-8 Кам’яна сіль</t>
  </si>
  <si>
    <t>1480de1ca3d54e719a667a6e3cb74bb9</t>
  </si>
  <si>
    <t>14d53d929ae24b639f2f987eda07bb7c</t>
  </si>
  <si>
    <t>15</t>
  </si>
  <si>
    <t>15/2023</t>
  </si>
  <si>
    <t>15/2024</t>
  </si>
  <si>
    <t>15840000-8 Какао; шоколад та цукрові кондитерські вироби</t>
  </si>
  <si>
    <t>15c1c34d3c1b46b0aeb28b4fe2504033</t>
  </si>
  <si>
    <t>16</t>
  </si>
  <si>
    <t>16/2023</t>
  </si>
  <si>
    <t>16/2024</t>
  </si>
  <si>
    <t>17</t>
  </si>
  <si>
    <t>17/2023</t>
  </si>
  <si>
    <t>17/2024</t>
  </si>
  <si>
    <t>17/2025</t>
  </si>
  <si>
    <t>171aa07ea1a14933b5a0d422d58567c5</t>
  </si>
  <si>
    <t>173196137b7b4a89a29f7abeed13b3a4</t>
  </si>
  <si>
    <t>175</t>
  </si>
  <si>
    <t>18</t>
  </si>
  <si>
    <t>18/2023</t>
  </si>
  <si>
    <t>18/2024</t>
  </si>
  <si>
    <t>18/2025</t>
  </si>
  <si>
    <t>1809/2022</t>
  </si>
  <si>
    <t>18140000-2 Аксесуари до робочого одягу</t>
  </si>
  <si>
    <t>18140000-2 – Аксесуари до робочого одягу (рукавички робочі)</t>
  </si>
  <si>
    <t>18424000-7 Рукавички</t>
  </si>
  <si>
    <t>18843dbc0d7448acab96795f195db5d7</t>
  </si>
  <si>
    <t>188bfc15068e43c093414bfe923e64da</t>
  </si>
  <si>
    <t>19</t>
  </si>
  <si>
    <t>19/2023</t>
  </si>
  <si>
    <t>19/2024</t>
  </si>
  <si>
    <t>19/2025</t>
  </si>
  <si>
    <t>19/22</t>
  </si>
  <si>
    <t>191241182c374be4991766a47d86cc62</t>
  </si>
  <si>
    <t>19270000-9 Неткані матеріали</t>
  </si>
  <si>
    <t>193f52a82b7748aeb5dec5bd8ae0a2ad</t>
  </si>
  <si>
    <t>19640000-4 Поліетиленові мішки та пакети для сміття</t>
  </si>
  <si>
    <t>19b6d8f936664abe8ce4ab2502c7876d</t>
  </si>
  <si>
    <t>1a3bac005cce4647a186673897b4452a</t>
  </si>
  <si>
    <t>1a58b11d611d4c75887655175d27bca7</t>
  </si>
  <si>
    <t>1b976da020f842c08841657081319a8a</t>
  </si>
  <si>
    <t>1cedeadf64d3417a852c63199c2c0418</t>
  </si>
  <si>
    <t>1d4280edc66a47b6b57bb9274fde1477</t>
  </si>
  <si>
    <t>1fd4078357b845a8bbccd8d210b6b638</t>
  </si>
  <si>
    <t>2</t>
  </si>
  <si>
    <t>2/11</t>
  </si>
  <si>
    <t>2/2023</t>
  </si>
  <si>
    <t>2/2024</t>
  </si>
  <si>
    <t>2/2025</t>
  </si>
  <si>
    <t>20</t>
  </si>
  <si>
    <t>20/2023</t>
  </si>
  <si>
    <t>200</t>
  </si>
  <si>
    <t>201</t>
  </si>
  <si>
    <t>20344871</t>
  </si>
  <si>
    <t>20910c0143e14401abea98450d7f5074</t>
  </si>
  <si>
    <t>21</t>
  </si>
  <si>
    <t>21/2023</t>
  </si>
  <si>
    <t>21045231</t>
  </si>
  <si>
    <t>21560766</t>
  </si>
  <si>
    <t>216</t>
  </si>
  <si>
    <t>22</t>
  </si>
  <si>
    <t>22/11/145-2</t>
  </si>
  <si>
    <t>22/2023</t>
  </si>
  <si>
    <t>22110000-4 Друковані книги</t>
  </si>
  <si>
    <t>22306453</t>
  </si>
  <si>
    <t>22306453/20</t>
  </si>
  <si>
    <t>22306453/р</t>
  </si>
  <si>
    <t>22316453</t>
  </si>
  <si>
    <t>22450000-9 Друкована продукція з елементами захисту</t>
  </si>
  <si>
    <t>22458000-5 Друкована продукція на замовлення</t>
  </si>
  <si>
    <t>2246819184</t>
  </si>
  <si>
    <t>2271700351</t>
  </si>
  <si>
    <t>2274724406</t>
  </si>
  <si>
    <t>22810000-1 Паперові чи картонні реєстраційні журнали</t>
  </si>
  <si>
    <t>22850000-3 Швидкозшивачі та супутнє приладдя</t>
  </si>
  <si>
    <t>229</t>
  </si>
  <si>
    <t>23</t>
  </si>
  <si>
    <t>23/2023</t>
  </si>
  <si>
    <t>231</t>
  </si>
  <si>
    <t>232</t>
  </si>
  <si>
    <t>233</t>
  </si>
  <si>
    <t>234</t>
  </si>
  <si>
    <t>234dceab203a41038b31f67aa7cadaac</t>
  </si>
  <si>
    <t>236</t>
  </si>
  <si>
    <t>2367211760</t>
  </si>
  <si>
    <t>2368004563</t>
  </si>
  <si>
    <t>238</t>
  </si>
  <si>
    <t>238e377d70c149b98e3b23ddf446c014</t>
  </si>
  <si>
    <t>239</t>
  </si>
  <si>
    <t>24</t>
  </si>
  <si>
    <t>24/03</t>
  </si>
  <si>
    <t>24/2023</t>
  </si>
  <si>
    <t>24/548</t>
  </si>
  <si>
    <t>240</t>
  </si>
  <si>
    <t>24200000-6 Барвники та пігменти</t>
  </si>
  <si>
    <t>2426105207</t>
  </si>
  <si>
    <t>24389020</t>
  </si>
  <si>
    <t>2450211157</t>
  </si>
  <si>
    <t>2466801107</t>
  </si>
  <si>
    <t>2474103373</t>
  </si>
  <si>
    <t>24910000-6 Клеї</t>
  </si>
  <si>
    <t>24fc033f765d4ec79c6d1753c219fbfe</t>
  </si>
  <si>
    <t>25</t>
  </si>
  <si>
    <t>25/491</t>
  </si>
  <si>
    <t>25/525</t>
  </si>
  <si>
    <t>25112021</t>
  </si>
  <si>
    <t>251204</t>
  </si>
  <si>
    <t>251204/1</t>
  </si>
  <si>
    <t>251204/2</t>
  </si>
  <si>
    <t>251504/1</t>
  </si>
  <si>
    <t>25159888</t>
  </si>
  <si>
    <t>2526404660</t>
  </si>
  <si>
    <t>2527c2f8a5154c0086897f9933e5a8c6</t>
  </si>
  <si>
    <t>26</t>
  </si>
  <si>
    <t>26/03/21-1</t>
  </si>
  <si>
    <t>261022</t>
  </si>
  <si>
    <t>2613d7262bcd4329977901c6f3a51a69</t>
  </si>
  <si>
    <t>26163343</t>
  </si>
  <si>
    <t>2619703494</t>
  </si>
  <si>
    <t>2636822120</t>
  </si>
  <si>
    <t>2679008212</t>
  </si>
  <si>
    <t>26b9693726334b9caee6acee8a93564f</t>
  </si>
  <si>
    <t>27</t>
  </si>
  <si>
    <t>27/05/24</t>
  </si>
  <si>
    <t>27/05/25</t>
  </si>
  <si>
    <t>2752314053</t>
  </si>
  <si>
    <t>2771903675</t>
  </si>
  <si>
    <t>2780920935</t>
  </si>
  <si>
    <t>2781214015</t>
  </si>
  <si>
    <t>2787413678</t>
  </si>
  <si>
    <t>27b2883b5397433686516eb0b1418703</t>
  </si>
  <si>
    <t>28</t>
  </si>
  <si>
    <t>2835502556</t>
  </si>
  <si>
    <t>2846010619</t>
  </si>
  <si>
    <t>2850720313</t>
  </si>
  <si>
    <t>2868206274</t>
  </si>
  <si>
    <t>2869208937</t>
  </si>
  <si>
    <t>2885215432</t>
  </si>
  <si>
    <t>28905ba1a3de4723a05f5180c5b2ffd7</t>
  </si>
  <si>
    <t>29-11-21/1</t>
  </si>
  <si>
    <t>292</t>
  </si>
  <si>
    <t>2925507771</t>
  </si>
  <si>
    <t>2928202150</t>
  </si>
  <si>
    <t>2936201869</t>
  </si>
  <si>
    <t>2936902717</t>
  </si>
  <si>
    <t>2951116822</t>
  </si>
  <si>
    <t>2963012655</t>
  </si>
  <si>
    <t>2992818719</t>
  </si>
  <si>
    <t>2a22df28425d4ecfaf6e17fd043bd1c6</t>
  </si>
  <si>
    <t>2a84eaa7c6d046b3ae55abdb719f120f</t>
  </si>
  <si>
    <t>2b6af9630f8a47c7ba91ac08a3e56c6a</t>
  </si>
  <si>
    <t>2b94945786424d8795617be9ac279142</t>
  </si>
  <si>
    <t>2ba6888062bf4dbdb3e773d1e3962594</t>
  </si>
  <si>
    <t>2cae1a3a5858478dadd91e8c9e3db322</t>
  </si>
  <si>
    <t>2cdd367b576141c092f298bed496cea4</t>
  </si>
  <si>
    <t>2d25637e14024f4ba6d5918ed928ec39</t>
  </si>
  <si>
    <t>2da802ddf0ad4a5486282c6ee3801896</t>
  </si>
  <si>
    <t>2e24fe69b9a54911a99b3a3b11d44b60</t>
  </si>
  <si>
    <t>3</t>
  </si>
  <si>
    <t>3/11</t>
  </si>
  <si>
    <t>3/2023</t>
  </si>
  <si>
    <t>3/2024</t>
  </si>
  <si>
    <t>3/2025</t>
  </si>
  <si>
    <t>30</t>
  </si>
  <si>
    <t>3010</t>
  </si>
  <si>
    <t>30120000-6 Фотокопіювальне та поліграфічне обладнання для офсетного друку</t>
  </si>
  <si>
    <t>30140000-2 Лічильна та обчислювальна техніка</t>
  </si>
  <si>
    <t>30190000-7 Офісне устаткування та приладдя різне</t>
  </si>
  <si>
    <t>30192700-8 Канцелярські товари</t>
  </si>
  <si>
    <t>30197630-1 Папір для друку</t>
  </si>
  <si>
    <t>30210000-4 Машини для обробки даних (апаратна частина)</t>
  </si>
  <si>
    <t>30230000-0 Комп’ютерне обладнання</t>
  </si>
  <si>
    <t>30232110-8 Лазерні принтери</t>
  </si>
  <si>
    <t>30285574</t>
  </si>
  <si>
    <t>30336335</t>
  </si>
  <si>
    <t>3033812852</t>
  </si>
  <si>
    <t>30343b11055844bc95db98769728d387</t>
  </si>
  <si>
    <t>3036616797</t>
  </si>
  <si>
    <t>30668603</t>
  </si>
  <si>
    <t>3092522553</t>
  </si>
  <si>
    <t>31154000-0 Джерела безперебійного живлення</t>
  </si>
  <si>
    <t>3115717699</t>
  </si>
  <si>
    <t>31175036</t>
  </si>
  <si>
    <t>3123808925</t>
  </si>
  <si>
    <t>3127119219</t>
  </si>
  <si>
    <t>3138210361</t>
  </si>
  <si>
    <t>31495587</t>
  </si>
  <si>
    <t>31520000-7 Світильники та освітлювальна арматура</t>
  </si>
  <si>
    <t>315a891bc3cb4388a12f9ac14f8f1602</t>
  </si>
  <si>
    <t>32</t>
  </si>
  <si>
    <t>3230/17</t>
  </si>
  <si>
    <t>32322000-6 Мультимедійне обладнання</t>
  </si>
  <si>
    <t>32340000-8 Мікрофони та гучномовці</t>
  </si>
  <si>
    <t>32343000-9 Підсилювачі</t>
  </si>
  <si>
    <t>32343000-9 Підсилювачі (Акустична система активна Maximum Acoustic Mobi 150A,  Комбопідсилювач LINE6 SPIDER V 20 MKII, Кабінет басовий EBS 112CL, classic Line 1x12", 250W, Підсилювач "голова" - басовий EBS RD250 REIDMAR, Кабель аудіо із з'єднувачами/конекторами BESPECO SLY2JR180 , Роз'єм адаптор  SLAD165, Джек "моно" BESPECO S50, Кабель комутаційний BESPECO ULE150, Кабель комутаційний BESPECO ULH150)</t>
  </si>
  <si>
    <t>32580000-2 Інформаційне обладнання</t>
  </si>
  <si>
    <t>3264112759</t>
  </si>
  <si>
    <t>3287320861</t>
  </si>
  <si>
    <t>32b4b9803c554cf8b2c810fdb9fa9425</t>
  </si>
  <si>
    <t>33/2024</t>
  </si>
  <si>
    <t>3312809537</t>
  </si>
  <si>
    <t>33190978</t>
  </si>
  <si>
    <t>3355212958</t>
  </si>
  <si>
    <t>3356567</t>
  </si>
  <si>
    <t>3356567/1</t>
  </si>
  <si>
    <t>33631600-8 Антисептичні та дезінфекційні засоби</t>
  </si>
  <si>
    <t>33711900-6 Мило</t>
  </si>
  <si>
    <t>33741300-9 Антисептичні засоби для рук</t>
  </si>
  <si>
    <t>33760000-5 Туалетний папір, носові хустинки, рушники для рук і серветки</t>
  </si>
  <si>
    <t>338789fd505f4f20a080b34f8d984a92</t>
  </si>
  <si>
    <t>3409915770</t>
  </si>
  <si>
    <t>34742491</t>
  </si>
  <si>
    <t>34742491-1</t>
  </si>
  <si>
    <t>34742491-2</t>
  </si>
  <si>
    <t>34742491/1</t>
  </si>
  <si>
    <t>34742491/2023</t>
  </si>
  <si>
    <t>34d379f3d3ea40449ffeef11b79425c4</t>
  </si>
  <si>
    <t>35</t>
  </si>
  <si>
    <t>35026331</t>
  </si>
  <si>
    <t>35110000-8 Протипожежне, рятувальне та захисне обладнання</t>
  </si>
  <si>
    <t>35a2a3f1cc6445e285f687a1da97438a</t>
  </si>
  <si>
    <t>35dae230ea35410899b3b64017bb56aa</t>
  </si>
  <si>
    <t>36195392</t>
  </si>
  <si>
    <t>3628602991</t>
  </si>
  <si>
    <t>365cef2a64664894b6cb16aa9a977ae6</t>
  </si>
  <si>
    <t>3661806139</t>
  </si>
  <si>
    <t>36865753</t>
  </si>
  <si>
    <t>36f958983a3c4a3790bb24f8b9f321e7</t>
  </si>
  <si>
    <t>37061252</t>
  </si>
  <si>
    <t>37310000-4 Музичні інструменти</t>
  </si>
  <si>
    <t>37316000-6 "Ударні інструменти" (Ударна установка PEACE DEMOLITION DP-22NDL-5 #39 FUCHSIA  , набір стійок АРК/ХРК HARDWARE PACK , барабан перкусіний DJ djembe  )</t>
  </si>
  <si>
    <t>37316000-6 Ударні інструменти</t>
  </si>
  <si>
    <t>37320000-7 Частини та приладдя до музичних інструментів</t>
  </si>
  <si>
    <t>37373ba5718f4d49aa90a1e696d5adec</t>
  </si>
  <si>
    <t>37411078</t>
  </si>
  <si>
    <t>37829234</t>
  </si>
  <si>
    <t>38</t>
  </si>
  <si>
    <t>38554000-3 Лічильники електроенергії</t>
  </si>
  <si>
    <t>38610325</t>
  </si>
  <si>
    <t>38650000-6 Фотографічне обладнання</t>
  </si>
  <si>
    <t>38ab202c9b204aeb95c3587e4bfa8f14</t>
  </si>
  <si>
    <t>39</t>
  </si>
  <si>
    <t>391</t>
  </si>
  <si>
    <t>39102384</t>
  </si>
  <si>
    <t>39110000-6 Сидіння, стільці та супутні вироби і частини до них</t>
  </si>
  <si>
    <t>39112000-0 Стільці</t>
  </si>
  <si>
    <t>39120000-9 Столи, серванти, письмові столи та книжкові шафи</t>
  </si>
  <si>
    <t>39130000-2 Офісні меблі</t>
  </si>
  <si>
    <t>39150000-8 Меблі та приспособи різні</t>
  </si>
  <si>
    <t>3917/17 ТР</t>
  </si>
  <si>
    <t>39190000-0 Шпалери та інші настінні покриття</t>
  </si>
  <si>
    <t>39220000-0 Кухонне приладдя, товари для дому та господарства і приладдя для закладів громадського харчування</t>
  </si>
  <si>
    <t>39224000-8 Мітли, щітки та інше господарське приладдя</t>
  </si>
  <si>
    <t>39224000-8 – Мітли, щітки та інше господарське приладдя (мітла пластикова, совок, щітка, швабра дерев"яна , відро пласт.)</t>
  </si>
  <si>
    <t>39299300-7 Скляні дзеркала</t>
  </si>
  <si>
    <t>39519437</t>
  </si>
  <si>
    <t>39562739</t>
  </si>
  <si>
    <t>39612166</t>
  </si>
  <si>
    <t>39710000-2 Електричні побутові прилади</t>
  </si>
  <si>
    <t>39810000-3 Ароматизатори та воски</t>
  </si>
  <si>
    <t>39830000-9 Продукція для чищення</t>
  </si>
  <si>
    <t>39831000-6 Засоби для прання і миття</t>
  </si>
  <si>
    <t>39831300-9 Засоби для миття підлоги</t>
  </si>
  <si>
    <t>39ebaafc0b554411821b765d5dfa57f5</t>
  </si>
  <si>
    <t>3a973a6ab487458f9de018646ec66efa</t>
  </si>
  <si>
    <t>3d85850ac9eb4c6d99bcc0fe98902d97</t>
  </si>
  <si>
    <t>3df2323898494ad2914f77c53cbe582c</t>
  </si>
  <si>
    <t>3e3e8817099f456f9a194f8fe781a672</t>
  </si>
  <si>
    <t>3e66f273ab0d4cf4b4b5c7903a0c52d1</t>
  </si>
  <si>
    <t>3e9a9d5509924c44b79c8df29ada2f7d</t>
  </si>
  <si>
    <t>3ee664db0b8c4275b518d6a5ad0b7d15</t>
  </si>
  <si>
    <t>3f0838368bc94f90ae320e3285cebc3f</t>
  </si>
  <si>
    <t>4</t>
  </si>
  <si>
    <t>4/11</t>
  </si>
  <si>
    <t>4/2023</t>
  </si>
  <si>
    <t>4/2024</t>
  </si>
  <si>
    <t>4/2025</t>
  </si>
  <si>
    <t>40593959</t>
  </si>
  <si>
    <t>40718791</t>
  </si>
  <si>
    <t>40828005</t>
  </si>
  <si>
    <t>40841272</t>
  </si>
  <si>
    <t>40913404</t>
  </si>
  <si>
    <t>40999366</t>
  </si>
  <si>
    <t>409c09df3af74fea99c75220d284b275</t>
  </si>
  <si>
    <t>41</t>
  </si>
  <si>
    <t>415e025e6cec4c1fa856c64d8b68b3b9</t>
  </si>
  <si>
    <t>4179/17</t>
  </si>
  <si>
    <t>41e009a6ddc34d818d3a9412cc53ddf7</t>
  </si>
  <si>
    <t>42223804</t>
  </si>
  <si>
    <t>42241650</t>
  </si>
  <si>
    <t>42598bf3aaff4dbd8db0d1f270f129da</t>
  </si>
  <si>
    <t>42703530</t>
  </si>
  <si>
    <t>42711358</t>
  </si>
  <si>
    <t>42764588</t>
  </si>
  <si>
    <t>42840223</t>
  </si>
  <si>
    <t>42963347</t>
  </si>
  <si>
    <t>42a4ceeae3ae42459ad58e4c60b31ded</t>
  </si>
  <si>
    <t>43035859</t>
  </si>
  <si>
    <t>43144184</t>
  </si>
  <si>
    <t>43156252</t>
  </si>
  <si>
    <t>43ad488c0e344e8db1f25b63aab13d8d</t>
  </si>
  <si>
    <t>43e30d475f724b39b453f3aa5e6be5e7</t>
  </si>
  <si>
    <t>44098532</t>
  </si>
  <si>
    <t>44110000-4 Конструкційні матеріали</t>
  </si>
  <si>
    <t>44111000-1 Будівельні матеріали</t>
  </si>
  <si>
    <t>44170000-2 Плити, листи, стрічки та фольга, пов’язані з конструкційними матеріалами</t>
  </si>
  <si>
    <t>44277867</t>
  </si>
  <si>
    <t>44283006</t>
  </si>
  <si>
    <t>44510000-8 - Знаряддя (сапа, держак для сапи)</t>
  </si>
  <si>
    <t>44510000-8 Знаряддя</t>
  </si>
  <si>
    <t>44610000-9 Цистерни, резервуари, контейнери та посудини високого тиску</t>
  </si>
  <si>
    <t>44620000-2 Радіатори і котли для систем центрального опалення та їх деталі</t>
  </si>
  <si>
    <t>44810000-1 Фарби</t>
  </si>
  <si>
    <t>44830000-7 Мастики, шпаклівки, замазки та розчинники</t>
  </si>
  <si>
    <t>44844539</t>
  </si>
  <si>
    <t>44890412</t>
  </si>
  <si>
    <t>4515/17 тр</t>
  </si>
  <si>
    <t>45233253-7 Влаштування тротуарного покриття</t>
  </si>
  <si>
    <t>45262321-7 Вирівнювання підлоги</t>
  </si>
  <si>
    <t>45310000-3 Електромонтажні роботи</t>
  </si>
  <si>
    <t>45320000-6 Ізоляційні роботи</t>
  </si>
  <si>
    <t>45330000-9 Водопровідні та санітарно-технічні роботи</t>
  </si>
  <si>
    <t>45331000-6 Встановлення опалювальних, вентиляційних систем і систем кондиціонування повітря</t>
  </si>
  <si>
    <t>45410000-4 Штукатурні роботи</t>
  </si>
  <si>
    <t>45430000-0 Покривання підлоги та стін</t>
  </si>
  <si>
    <t>45450000-6 Інші завершальні будівельні роботи</t>
  </si>
  <si>
    <t>454c79aafb7a4478995d1b5d8cc77747</t>
  </si>
  <si>
    <t>45529186</t>
  </si>
  <si>
    <t>45580766</t>
  </si>
  <si>
    <t>455f0713294a4ec1a900402646e9b4a4</t>
  </si>
  <si>
    <t>46/09/21</t>
  </si>
  <si>
    <t>466159e364874dffaf17b5d6bfbcf85d</t>
  </si>
  <si>
    <t>469/09/20</t>
  </si>
  <si>
    <t>469/09/22</t>
  </si>
  <si>
    <t>469/09/23</t>
  </si>
  <si>
    <t>469/1/24</t>
  </si>
  <si>
    <t>469/1/25</t>
  </si>
  <si>
    <t>469/1/26</t>
  </si>
  <si>
    <t>469b419806534bb9bac90eb75a9d8287</t>
  </si>
  <si>
    <t>46fe80c839664b9d87023e3d1d4c78e1</t>
  </si>
  <si>
    <t>47</t>
  </si>
  <si>
    <t>476aaae4c897425b8e7596eaed445a34</t>
  </si>
  <si>
    <t>48310000-4 Пакети програмного забезпечення для створення документів</t>
  </si>
  <si>
    <t>48440000-4 Пакети програмного забезпечення для фінансового аналізу та бухгалтерського обліку</t>
  </si>
  <si>
    <t>486da73d5c014496bdbb22962a743dd8</t>
  </si>
  <si>
    <t>488</t>
  </si>
  <si>
    <t>490784a8a9124dc4bfa32a40f895de97</t>
  </si>
  <si>
    <t>494e63bc4c734fe0897859524776e0b2</t>
  </si>
  <si>
    <t>4a15f296fb7847db9e9864d456b4a9d5</t>
  </si>
  <si>
    <t>4a3b56df8d8049eca39be0240e8cc524</t>
  </si>
  <si>
    <t>4ab3cf17abc443d6b37f838d20e28709</t>
  </si>
  <si>
    <t>4ba52964ff4545a4abef156c8b84160d</t>
  </si>
  <si>
    <t>4bc03258714f4e32b0a0eab4f141057f</t>
  </si>
  <si>
    <t>4c1ff4b591614e2e8b8666d964e2877a</t>
  </si>
  <si>
    <t>4cd293fcb91748fb8e8aa57d51ee3a53</t>
  </si>
  <si>
    <t>4d288890573240f9811f4a2b7b369b4d</t>
  </si>
  <si>
    <t>4e3dcff9a3e74ee3924ccd6cad81bb58</t>
  </si>
  <si>
    <t>4ed69f2f52c94d49a798925a3e0c173c</t>
  </si>
  <si>
    <t>4f96f5d3ac9e459ab3c1309a0f984f58</t>
  </si>
  <si>
    <t>4fc5082f9aa440f3bab8ecb8f0a3a0d9</t>
  </si>
  <si>
    <t>5</t>
  </si>
  <si>
    <t>5/11</t>
  </si>
  <si>
    <t>5/2023</t>
  </si>
  <si>
    <t>5/2024</t>
  </si>
  <si>
    <t>5/2025</t>
  </si>
  <si>
    <t>50137ee5890e49da81f5a9e0594c1bed</t>
  </si>
  <si>
    <t>501c26c8d532453692f302d0502fe46f</t>
  </si>
  <si>
    <t>5029 "С"</t>
  </si>
  <si>
    <t>5029/1 "С"</t>
  </si>
  <si>
    <t>50310000-1 Технічне обслуговування і ремонт офісної техніки</t>
  </si>
  <si>
    <t>50320000-4 Послуги з ремонту і технічного обслуговування персональних комп’ютерів</t>
  </si>
  <si>
    <t>50340000-0 Послуги з ремонту і технічного обслуговування аудіовізуального та оптичного обладнання</t>
  </si>
  <si>
    <t>50343000-1 Послуги з ремонту і технічного обслуговування відеообладнання</t>
  </si>
  <si>
    <t>50410000-2 Послуги з ремонту і технічного обслуговування вимірювальних, випробувальних і контрольних приладів</t>
  </si>
  <si>
    <t>50413200-5 Послуги з ремонту і технічного обслуговування протипожежного обладнання</t>
  </si>
  <si>
    <t>50610000-4 Послуги з ремонту і технічного обслуговування захисного обладнання</t>
  </si>
  <si>
    <t>50710000-5 Послуги з ремонту і технічного обслуговування електричного і механічного устаткування будівель</t>
  </si>
  <si>
    <t>50720000-8 Послуги з ремонту і технічного обслуговування систем центрального опалення</t>
  </si>
  <si>
    <t>50730000-1 Послуги з ремонту і технічного обслуговування охолоджувальних установок</t>
  </si>
  <si>
    <t>50800000-3 Послуги з різних видів ремонту і технічного обслуговування</t>
  </si>
  <si>
    <t>509927f6732243b3a43e98f1088b7328</t>
  </si>
  <si>
    <t>51110000-6 Послуги зі встановлення електричного обладнання</t>
  </si>
  <si>
    <t>52</t>
  </si>
  <si>
    <t>52878e1ef4f149cb83897053fc9655dc</t>
  </si>
  <si>
    <t>52b7da75b0124f9cbf98bc94d888b914</t>
  </si>
  <si>
    <t>52def5fbacff4340a7c55adaa3dbaae6</t>
  </si>
  <si>
    <t>540bb1c86de54dfca5df0cbb3d893dbc</t>
  </si>
  <si>
    <t>5487b45c421343c982b86c929374a592</t>
  </si>
  <si>
    <t>553566eb27d043899d8c7b14e2a47505</t>
  </si>
  <si>
    <t>5598 "С"</t>
  </si>
  <si>
    <t>5614/17 тр</t>
  </si>
  <si>
    <t>561d180f47084e42985a023551387617</t>
  </si>
  <si>
    <t>57</t>
  </si>
  <si>
    <t>577cde17a8fe4874b956ad47bc1c9a42</t>
  </si>
  <si>
    <t>57da5bc152db42fe96017ac90c90db47</t>
  </si>
  <si>
    <t>589818f94cec44d592f41a24eaf9852a</t>
  </si>
  <si>
    <t>598/1</t>
  </si>
  <si>
    <t>5988ac0bf7ab4095ad381301e3fe9f67</t>
  </si>
  <si>
    <t>59921997b0f6482e9601e667ea6805aa</t>
  </si>
  <si>
    <t>59edb368e6da4dbaab95dfda675f816a</t>
  </si>
  <si>
    <t>5a7bd8abb06f471ca18b2608933a44cd</t>
  </si>
  <si>
    <t>5ad9006de5904aafa11a96c4354227be</t>
  </si>
  <si>
    <t>5b029a3fcd48401eb7d55bed72ca8684</t>
  </si>
  <si>
    <t>5b1df9e297a148ddb31cb5aa14f4fc17</t>
  </si>
  <si>
    <t>5c7aca3fa14d419da160f5c1d8852c39</t>
  </si>
  <si>
    <t>5cc597af31bf47ebb9155a6426de9dd2</t>
  </si>
  <si>
    <t>5d6c91178df041d1aaad7450840cb128</t>
  </si>
  <si>
    <t>5dcd48161e6044f9bbae5cd884fe3bed</t>
  </si>
  <si>
    <t>5de84c16ff3a4ca08b3a7f5126cd25ef</t>
  </si>
  <si>
    <t>5e31ba9a8a6e4106935d2d5e93377f93</t>
  </si>
  <si>
    <t>5ef8b77e902d4ff897250fb2d4fb1655</t>
  </si>
  <si>
    <t>5ff5947c0891442bb4b34075f20f4f9a</t>
  </si>
  <si>
    <t>6</t>
  </si>
  <si>
    <t>6/11</t>
  </si>
  <si>
    <t>6/2023</t>
  </si>
  <si>
    <t>6/2024</t>
  </si>
  <si>
    <t>6/2025</t>
  </si>
  <si>
    <t>602</t>
  </si>
  <si>
    <t>603c1ef8bba34c7287b37b744468d3bc</t>
  </si>
  <si>
    <t>62</t>
  </si>
  <si>
    <t>62a9286749ac4622bc393016c8be336b</t>
  </si>
  <si>
    <t>62c5a7310d5f4379a93bd410ff2e4716</t>
  </si>
  <si>
    <t>63729b3cb0024e3096684d3a698103e9</t>
  </si>
  <si>
    <t>63b1fb035e824e1fb774e33e7274904b</t>
  </si>
  <si>
    <t>64210000-1 Послуги телефонного зв’язку та передачі даних</t>
  </si>
  <si>
    <t>65110000-7 Розподіл води</t>
  </si>
  <si>
    <t>65310000-9 Розподіл електричної енергії</t>
  </si>
  <si>
    <t>6553</t>
  </si>
  <si>
    <t>6645f9dbe57d4016b1905a1eb7dc07df</t>
  </si>
  <si>
    <t>66510000-8 Страхові послуги</t>
  </si>
  <si>
    <t>669158c5de1442fb8b0e7d37997678a9</t>
  </si>
  <si>
    <t>67</t>
  </si>
  <si>
    <t>68224d8b99354f329bb50b049f80e794</t>
  </si>
  <si>
    <t>68828b2e6d7b45cdbaee8332e277ac92</t>
  </si>
  <si>
    <t>68d2154069fd46d2a29ae151e744b971</t>
  </si>
  <si>
    <t>68d84a54e50c448fbedc8b0999c328a8</t>
  </si>
  <si>
    <t>696deb6574114f91a4f35b88e78d79c4</t>
  </si>
  <si>
    <t>6987</t>
  </si>
  <si>
    <t>69ee3aa567e242fba46ed301d545dd1d</t>
  </si>
  <si>
    <t>6a4b4c4d718f448a95eb885015dbc667</t>
  </si>
  <si>
    <t>6bd91238654a442ba81642f23527c70e</t>
  </si>
  <si>
    <t>6c308333c11d42378b38c66fd071daab</t>
  </si>
  <si>
    <t>6e05cf75c30642d3a2ca107ca7334392</t>
  </si>
  <si>
    <t>6fabf11ee945497e8ddf428335c688cb</t>
  </si>
  <si>
    <t>7</t>
  </si>
  <si>
    <t>7/2023</t>
  </si>
  <si>
    <t>7/2024</t>
  </si>
  <si>
    <t>7/2025</t>
  </si>
  <si>
    <t>703d2e8d6bad47e788674da35634da3c</t>
  </si>
  <si>
    <t>70970c204eb94790808ebb289480aa2b</t>
  </si>
  <si>
    <t>70b08e864e8943358ec9756ad1145213</t>
  </si>
  <si>
    <t>70b25eb1e869444886cd6258836839ad</t>
  </si>
  <si>
    <t>7103ee949a6e4757a0017bae81ac008b</t>
  </si>
  <si>
    <t>71520000-9 Послуги з нагляду за виконанням будівельних робіт</t>
  </si>
  <si>
    <t>71630000-3 Послуги з технічного огляду та випробовувань</t>
  </si>
  <si>
    <t>72250000-2 Послуги, пов’язані із системами та підтримкою</t>
  </si>
  <si>
    <t>72310000-1 Послуги з обробки даних</t>
  </si>
  <si>
    <t>72410000-7 Послуги провайдерів</t>
  </si>
  <si>
    <t>72413000-8 Послуги з розробки веб-сайтів</t>
  </si>
  <si>
    <t>726b7e1417044a3aa099ec0b064ec4a4</t>
  </si>
  <si>
    <t>72710000-0 Послуги у сфері локальних мереж</t>
  </si>
  <si>
    <t>72a4e014c829471fafacb98447459807</t>
  </si>
  <si>
    <t>72c7acf310554975b64b741c5b9a36ff</t>
  </si>
  <si>
    <t>72d237166573440b8bab995746a17ecd</t>
  </si>
  <si>
    <t>731</t>
  </si>
  <si>
    <t>734</t>
  </si>
  <si>
    <t>73afc11938af4c93af9a8837e34cdee8</t>
  </si>
  <si>
    <t>7533</t>
  </si>
  <si>
    <t>764fb9f368224c32a43abea18a45c6ac</t>
  </si>
  <si>
    <t>769599c1f1b443d888e6f9654f111000</t>
  </si>
  <si>
    <t>76a57bb58cf24cf5be198f713f9472c3</t>
  </si>
  <si>
    <t>76d405395e3742e3ab34e848bbe8b669</t>
  </si>
  <si>
    <t>77220000-8 Послуги з просочування деревини</t>
  </si>
  <si>
    <t>774d2a9b59fb48c2bcacaad246f02e04</t>
  </si>
  <si>
    <t>7841f532c9584b78b4e6ed1e6a9a6b44</t>
  </si>
  <si>
    <t>788dfa53fe1e454094540e4232add1ac</t>
  </si>
  <si>
    <t>78952facb7974e9f94ca7e0f2294e971</t>
  </si>
  <si>
    <t>79130000-4 Юридичні послуги, пов’язані з оформленням і засвідченням документів</t>
  </si>
  <si>
    <t>79410000-1 Консультаційні послуги з питань підприємницької діяльності та управління</t>
  </si>
  <si>
    <t>79418000-7 Консультаційні послуги з питань закупівель</t>
  </si>
  <si>
    <t>79550000-4 Послуги з набору та обробки текстів і комп’ютерної верстки</t>
  </si>
  <si>
    <t>79710000-4 Охоронні послуги</t>
  </si>
  <si>
    <t>7a1e68724a584a729caf90199b911a2b</t>
  </si>
  <si>
    <t>7ac49f86f0564bdb963fb8009125b0b6</t>
  </si>
  <si>
    <t>7bcee3f7ea484c438a78fa425a056e04</t>
  </si>
  <si>
    <t>7c557dfd0de04baf96c10a090c46043a</t>
  </si>
  <si>
    <t>7cb905b7ef134f2c92faa8c4cd277172</t>
  </si>
  <si>
    <t>7cf0f82455b44e9cb023be8432f63312</t>
  </si>
  <si>
    <t>7e10b12b439b4eeba8b163a6ff2607dc</t>
  </si>
  <si>
    <t>7e37c492ff7b4918a36b6f30f458c742</t>
  </si>
  <si>
    <t>7ef919fdd17643769bcd79a6f6d2f572</t>
  </si>
  <si>
    <t>7f33b17fb00b4648873c3b2ce32fff7b</t>
  </si>
  <si>
    <t>8</t>
  </si>
  <si>
    <t>8/11</t>
  </si>
  <si>
    <t>8/2023</t>
  </si>
  <si>
    <t>8/2024</t>
  </si>
  <si>
    <t>8/2025</t>
  </si>
  <si>
    <t>80</t>
  </si>
  <si>
    <t>803ef046dfda49878e206e73c69d0f03</t>
  </si>
  <si>
    <t>80510000-2 Послуги з професійної підготовки спеціалістів</t>
  </si>
  <si>
    <t>80550000-4 Послуги з професійної підготовки у сфері безпеки</t>
  </si>
  <si>
    <t>80570000-0 Послуги з професійної підготовки у сфері підвищення кваліфікації</t>
  </si>
  <si>
    <t>8143c82b16804c7db0d648df57d6f5de</t>
  </si>
  <si>
    <t>8174</t>
  </si>
  <si>
    <t>82cb9469335240d680174421108e2b5e</t>
  </si>
  <si>
    <t>85dfb4d3406249c6a05aa873ba930af6</t>
  </si>
  <si>
    <t>863a84701ba547918d1305d0881c3e3e</t>
  </si>
  <si>
    <t>86badbe0324e42b29549ad89829859d6</t>
  </si>
  <si>
    <t>86c57e95e17f471d95746eeaab87c910</t>
  </si>
  <si>
    <t>87849a5955ad42dca918879d4f8a51c2</t>
  </si>
  <si>
    <t>878f10a9f9b3470fb677359df643d0c6</t>
  </si>
  <si>
    <t>8847304cc4fa46159ae9bd218ec15ec2</t>
  </si>
  <si>
    <t>899f86bfb88348e59bcdcdfd4657cae4</t>
  </si>
  <si>
    <t>8b30aa1cd6104bbcba55f48431031e65</t>
  </si>
  <si>
    <t>8b6f9dc4660b47ec823cd74bced54ae4</t>
  </si>
  <si>
    <t>8c361617469b4d0d946a8926265c48c5</t>
  </si>
  <si>
    <t>8d064c46442348bea43274d8dc044aaa</t>
  </si>
  <si>
    <t>8d8e0d08b49748648a246b4ef02e5805</t>
  </si>
  <si>
    <t>8daea9f98cf141e1bc52c15ddcda63db</t>
  </si>
  <si>
    <t>8de34c4e5f894052944d6105a52db8ef</t>
  </si>
  <si>
    <t>8e44055e21af43fb92ccfaaed1759524</t>
  </si>
  <si>
    <t>8ecfd01421b347ecb286a8d2615127c7</t>
  </si>
  <si>
    <t>8efda2bf623f48ef9f530ad380190307</t>
  </si>
  <si>
    <t>8f09cacb14fd46338f54a313f0850def</t>
  </si>
  <si>
    <t>8f7499b18a8b41359a41e0daed811983</t>
  </si>
  <si>
    <t>8f8c096d0c07416c9ffd5960c35724e7</t>
  </si>
  <si>
    <t>8ff6068e8cc14c5ba44159b60464b5c2</t>
  </si>
  <si>
    <t>9</t>
  </si>
  <si>
    <t>9-4</t>
  </si>
  <si>
    <t>9-4-В/1</t>
  </si>
  <si>
    <t>9-4-К/1</t>
  </si>
  <si>
    <t>9-4/1</t>
  </si>
  <si>
    <t>9/2023</t>
  </si>
  <si>
    <t>9/2024</t>
  </si>
  <si>
    <t>9/2025</t>
  </si>
  <si>
    <t>90430000-0 Послуги з відведення стічних вод</t>
  </si>
  <si>
    <t>90510000-5 Утилізація/видалення сміття та поводження зі сміттям</t>
  </si>
  <si>
    <t>906b775510f342c9a62aa7cbba7fea15</t>
  </si>
  <si>
    <t>92210000-6 Послуги радіомовлення</t>
  </si>
  <si>
    <t>92220000-9 Телевізійні послуги</t>
  </si>
  <si>
    <t>92400000-5 Послуги інформаційних агентств</t>
  </si>
  <si>
    <t>934a10ea170c41f0a6398405f4db05f2</t>
  </si>
  <si>
    <t>93ce2a3a77f048748e1b6191b4ada119</t>
  </si>
  <si>
    <t>93d3d6a2afad449e8ebbef3d24bc29cc</t>
  </si>
  <si>
    <t>93dbedc9164a465ebca2f86b75990662</t>
  </si>
  <si>
    <t>93e9b36334aa4b849c3b9764840d2488</t>
  </si>
  <si>
    <t>94640a1244e84101bc85aabcce48794b</t>
  </si>
  <si>
    <t>94b3702e1bf7408281d008e199983c8a</t>
  </si>
  <si>
    <t>94ca835c1b8c4881adcd543f3dd8fde6</t>
  </si>
  <si>
    <t>95</t>
  </si>
  <si>
    <t>95-3-К/1</t>
  </si>
  <si>
    <t>950a468ae74a42feb9a35b4de207ca40</t>
  </si>
  <si>
    <t>9627eca14dc14803ae0e04d7343af902</t>
  </si>
  <si>
    <t>9860a6e067f14587a7f3d38950875a1b</t>
  </si>
  <si>
    <t>98b85e8c836146a49a97d88e7b9ae1d2</t>
  </si>
  <si>
    <t>99ccb9577a82412ea359fb173917784b</t>
  </si>
  <si>
    <t>99d8f637e8e34a38a4264cc995dd831e</t>
  </si>
  <si>
    <t>9b4ee59eea6a49febf7118c15732e5fb</t>
  </si>
  <si>
    <t>9b61bb3098a949bca969eeb79a302df9</t>
  </si>
  <si>
    <t>9c1e09558f5f4c6a859a65b33919ce19</t>
  </si>
  <si>
    <t>9c29aeec7d5849b8b908aaefbf3ec984</t>
  </si>
  <si>
    <t>9c38602c04bd43acacb2afdccea354f6</t>
  </si>
  <si>
    <t>9c6f997848af4e0a87016f0c046a07e0</t>
  </si>
  <si>
    <t>9d8aa92093ac45f7aad5a094256208ca</t>
  </si>
  <si>
    <t>Cтійка для малого барабана ТАМА HS60W</t>
  </si>
  <si>
    <t>Cтійка для малого барабана ТАМА HS60W (ДК 021:2015: 37320000-7 Частини та приладдя до музичних інструментів)</t>
  </si>
  <si>
    <t>ID контракту</t>
  </si>
  <si>
    <t>U/3977/1</t>
  </si>
  <si>
    <t>U/4337/1</t>
  </si>
  <si>
    <t>U/4560/1</t>
  </si>
  <si>
    <t>U/4931/1</t>
  </si>
  <si>
    <t>U/5233/1</t>
  </si>
  <si>
    <t>U/5640/1</t>
  </si>
  <si>
    <t>a01382d333d34b919dff7b1856a9aaea</t>
  </si>
  <si>
    <t>a128cc26b6c84feb90213ce4cab64b3c</t>
  </si>
  <si>
    <t>a1a76a2e413347b38ab6de363c1245a1</t>
  </si>
  <si>
    <t>a1bc78fd58bf4a9494bf2e931b5d5a4f</t>
  </si>
  <si>
    <t>a1ea4f4571254c1aadadf22d831f2677</t>
  </si>
  <si>
    <t>a2b124bcb2024a76ace29128744c37a3</t>
  </si>
  <si>
    <t>a3b2088bc6b942fc9e50c047fa1e41ef</t>
  </si>
  <si>
    <t>a4db69c554a54202ba5d978bf72a9050</t>
  </si>
  <si>
    <t>a614da1659db4d96abcf63e25a21490e</t>
  </si>
  <si>
    <t>a624fa9443b5406a862e5d3fe867963e</t>
  </si>
  <si>
    <t>a68972dd9ba749df8e595783ae75bacb</t>
  </si>
  <si>
    <t>a741bcd233b948b285120d7a329be35c</t>
  </si>
  <si>
    <t>a75ddd1d99494749a309e788ed483564</t>
  </si>
  <si>
    <t>a7f72018278241a3bf40fb7399f404c5</t>
  </si>
  <si>
    <t>a8fdadfded7540a6a1557f81c9d295d8</t>
  </si>
  <si>
    <t>a903a20c6b684b78bad85e296db101d8</t>
  </si>
  <si>
    <t>a9253936bed04b43a7b46a462dbc2ad3</t>
  </si>
  <si>
    <t>abb76b0249294a6dbd73d4a304a20fa3</t>
  </si>
  <si>
    <t>ada51ec2328042008a4cb2099a9265da</t>
  </si>
  <si>
    <t>adf361f39c3442a5bf8e5499793bff1c</t>
  </si>
  <si>
    <t>ae1b2677c8c64f55994ba7fc3a5f4ce5</t>
  </si>
  <si>
    <t>aec06cb85c9a413290054de390ad8865</t>
  </si>
  <si>
    <t>af16e6667b4d44daa14e6c70d558651e</t>
  </si>
  <si>
    <t>af4568019c284bdfb141af765531de17</t>
  </si>
  <si>
    <t>afcc46ccdd8045dda555b519c8989123</t>
  </si>
  <si>
    <t>b106112a4b2f46aaa78bac246503bf08</t>
  </si>
  <si>
    <t>b29262785f2a4cadad492aa2ad7aab69</t>
  </si>
  <si>
    <t>b6302daec5a14d13aced31bbaf42f942</t>
  </si>
  <si>
    <t>b68ac4c52a2f4ccc8c91088e61b6728e</t>
  </si>
  <si>
    <t>b742fc1c61cb4812aeefadb768564abc</t>
  </si>
  <si>
    <t>b7651781f5174623be1de9a083ffabbf</t>
  </si>
  <si>
    <t>b793322c7e9646dc9583b4c0a344b9cd</t>
  </si>
  <si>
    <t>b804e1d3fb904d0098106b0dddd0a322</t>
  </si>
  <si>
    <t>b83799fcc4e845b99fd62190b160b2a1</t>
  </si>
  <si>
    <t>b83e9c500f4b41c48565c35ea5fdb7e0</t>
  </si>
  <si>
    <t>b97b8f433925477e816fedfba011f229</t>
  </si>
  <si>
    <t>b9ce2510f08945248008a173e298c6fc</t>
  </si>
  <si>
    <t>b9d40d5dc94b469eb44c3ed45412004e</t>
  </si>
  <si>
    <t>bb0c848d10404770a82fb1e37aaadbbb</t>
  </si>
  <si>
    <t>bcf97d7471ce4bc8a8f368cb8d335268</t>
  </si>
  <si>
    <t>bd4d525cfd254fdeac69b4a6df7dd957</t>
  </si>
  <si>
    <t>be42af5a1bb9471094d87b66145ec38c</t>
  </si>
  <si>
    <t>befbabe47ca34f91aee1bb16a17b40fe</t>
  </si>
  <si>
    <t>bfa9d5c60c014efc857e9867d38c1dce</t>
  </si>
  <si>
    <t>c058adb7e4a5448bafb45cbd1ae28f04</t>
  </si>
  <si>
    <t>c0ba8096253c4ad387e214d81308c259</t>
  </si>
  <si>
    <t>c1a489ec8f834e90a6fbe46766e3743a</t>
  </si>
  <si>
    <t>c27face962c745d69109e44259072c66</t>
  </si>
  <si>
    <t>c33894f16bc043bc83bb30ab03986d0c</t>
  </si>
  <si>
    <t>c4071a9a605f41d4af5707d3ca4aa679</t>
  </si>
  <si>
    <t>c40a8e4cea644b109e4467963a8c9f96</t>
  </si>
  <si>
    <t>c43f48a594a34e3386a3542434d163af</t>
  </si>
  <si>
    <t>c50b4056d4c54e9e97994a8a0c1d2706</t>
  </si>
  <si>
    <t>c67fc74f570640d3963498b1b7cb8abc</t>
  </si>
  <si>
    <t>c6ada0e31ffc4b269989358fbc180eec</t>
  </si>
  <si>
    <t>c7dded4d39814b679c0c20268807fe76</t>
  </si>
  <si>
    <t>c7f8bd0696e6455faa6dad53df5a89e7</t>
  </si>
  <si>
    <t>c879b32bd9744e7c817bc99c8411e5f0</t>
  </si>
  <si>
    <t>c93b15f922424f48b0478f53b3e5283e</t>
  </si>
  <si>
    <t>c966a00eeb6148d9b0cfe37a9bb6b9d8</t>
  </si>
  <si>
    <t>c9daaa6da2f247c3a5a44690b9a95b79</t>
  </si>
  <si>
    <t>cad50443225a439cae22195378e7dce8</t>
  </si>
  <si>
    <t>ccdad138999a430383006935fa822158</t>
  </si>
  <si>
    <t>ce12757ee1ad434bba3fe2b8dc1d2b5b</t>
  </si>
  <si>
    <t>ce7ec8844e9b4d8fbbd2b1f85fab8655</t>
  </si>
  <si>
    <t>ce900ca155454b74a75e5f1d43976ce6</t>
  </si>
  <si>
    <t>cecadb8032264b008d8277f164ec3f55</t>
  </si>
  <si>
    <t>cf1d03e25f2c48e9a6108532a73f10a3</t>
  </si>
  <si>
    <t>cfcdb6d9a42a4b5e95335d3d80d503d5</t>
  </si>
  <si>
    <t>d19e28e056f24e2081b150c7b90f5ea0</t>
  </si>
  <si>
    <t>d224b72b6ae6448d83fc63cdee023960</t>
  </si>
  <si>
    <t>d22cd3579a6b4a4593ad31c4bef20a64</t>
  </si>
  <si>
    <t>d39dbd08689247ceb4eb774874eed25e</t>
  </si>
  <si>
    <t>d558859d72ce4ea3a490b1b603cdff40</t>
  </si>
  <si>
    <t>d5d407f7d8714dfd8802b33ea1c7acaf</t>
  </si>
  <si>
    <t>d6a0e91706fd4fafaeaca8ac35c9ae8f</t>
  </si>
  <si>
    <t>d6e4886dea4248f1abbdb020112bd979</t>
  </si>
  <si>
    <t>d730b664f5eb451dabf1b0505b66f9bd</t>
  </si>
  <si>
    <t>d85afa13acfb4833befeada6d5080f83</t>
  </si>
  <si>
    <t>d87593a9b0ee46928a6ca25d744891b0</t>
  </si>
  <si>
    <t>d976285534124492ad4253c0d71103fc</t>
  </si>
  <si>
    <t>da4eab54c89d4ec8a94030671b52b787</t>
  </si>
  <si>
    <t>dae76b0d3464422aa89e6fafa19baa38</t>
  </si>
  <si>
    <t>dc34d35558624459a3d0ce05c595196c</t>
  </si>
  <si>
    <t>dd245971f1854420ae8e8d963bd24758</t>
  </si>
  <si>
    <t>dd560b1f121a4bbe9f7457f59183bb19</t>
  </si>
  <si>
    <t>dd6c519796154dacb5fed4c2a906e2b8</t>
  </si>
  <si>
    <t>de51440629004d16a592b04dd8bbdcc9</t>
  </si>
  <si>
    <t>dea050b686284bfaa10dda037beff9bc</t>
  </si>
  <si>
    <t>debe28e408784adfb2e1631128ab504e</t>
  </si>
  <si>
    <t>df164a8674304feaa29024b3a92d2a57</t>
  </si>
  <si>
    <t>dff5e2b8da144d21bb28c5737b2da7cd</t>
  </si>
  <si>
    <t>e0205cab91d6420b8e71ce801b4d8e63</t>
  </si>
  <si>
    <t>e255e29fd81b4589a6f2e1edad86797a</t>
  </si>
  <si>
    <t>e3b62a3a39e546989924eb0ccd9e29ac</t>
  </si>
  <si>
    <t>e3d077350ae3435abdfbe311be409e96</t>
  </si>
  <si>
    <t>e43ef957426c47c28dd3c26aaffbe504</t>
  </si>
  <si>
    <t>e4426b0e0ce844a49eb12181eb596a1f</t>
  </si>
  <si>
    <t>e703165529984b79a84c1f086bc4f40c</t>
  </si>
  <si>
    <t>e8b2e130bcc747f1893668e07d1c42be</t>
  </si>
  <si>
    <t>e9a47839cab643018a96a481d1d71224</t>
  </si>
  <si>
    <t>ea5768f2961d47e19951d40b58961049</t>
  </si>
  <si>
    <t>ea6867fd6225481ab197732b2a3dff30</t>
  </si>
  <si>
    <t>ea78e7c686e6439b8c3aec4e25ffcc89</t>
  </si>
  <si>
    <t>ec6a4ec9b7d44b62954c0f3c6ce8a5a2</t>
  </si>
  <si>
    <t>ed22fe5c47cb46758b61bdc1da592268</t>
  </si>
  <si>
    <t>ed26953a8b5f4fcd9c70cb552e6f41e4</t>
  </si>
  <si>
    <t>eeeeb657e6a84bd099ea4f769a99490b</t>
  </si>
  <si>
    <t>f1a296e4cfaa4dce9ba0aa788f2e8672</t>
  </si>
  <si>
    <t>f27626c117b2467daee51b1259937371</t>
  </si>
  <si>
    <t>f42b3d9fb93840a5b12f7aa617993fb2</t>
  </si>
  <si>
    <t>f45c5644a6c84cfca32d983d0a699b88</t>
  </si>
  <si>
    <t>f470c380e80443af91084312297226bf</t>
  </si>
  <si>
    <t>f50ab3d886214294be879d7b2497f9c9</t>
  </si>
  <si>
    <t>f50ec43e5ac04168bc9830ea3a36be05</t>
  </si>
  <si>
    <t>f56b2c08abbd4b839c433f4b7091997f</t>
  </si>
  <si>
    <t>f5e501b1e20d4d07b6ff50d07cccfcdd</t>
  </si>
  <si>
    <t>f6808f0d4cbd40bdab6f4c9298ff3089</t>
  </si>
  <si>
    <t>f7ce8122a0d84404a3ba9f7a09e8f345</t>
  </si>
  <si>
    <t>f87ae8e3fbd7421e91b61510e58a28b0</t>
  </si>
  <si>
    <t>f8ffd2d088a546eb86afcb6ea2e450d8</t>
  </si>
  <si>
    <t>f99ec33add864c5ab93fefee36074419</t>
  </si>
  <si>
    <t>fa1370ed20f24b258a66697b5c999bc7</t>
  </si>
  <si>
    <t>fad427e0d9a94b9cb549bd1a5e083c3f</t>
  </si>
  <si>
    <t>fb3b99db5c92463cbbadaabd64f8525e</t>
  </si>
  <si>
    <t>fb80d8d177a6481e8ebf79a0a16bcf52</t>
  </si>
  <si>
    <t>fb9a313a28224c9e8990a58cb6c63e4a</t>
  </si>
  <si>
    <t>fcccb7645abb43dea88e2039c005b4a4</t>
  </si>
  <si>
    <t>fd63265075f04baba06df5446fa9f3b4</t>
  </si>
  <si>
    <t>fe08026b9bf5435f83c1824afe690b94</t>
  </si>
  <si>
    <t>fe17a7fab5134ca390a61368840b7881</t>
  </si>
  <si>
    <t>fe31e4e2f8c34550b30e5c706a9cce95</t>
  </si>
  <si>
    <t>fe6478b5354643c6a0620e833e10b18f</t>
  </si>
  <si>
    <t>ЄДРПОУ переможця</t>
  </si>
  <si>
    <t>ІВАНОВА ІРИНА БОРИСІВНА</t>
  </si>
  <si>
    <t>ІВАЩЕНКО СВІТЛАНА ЮХИМІВНА</t>
  </si>
  <si>
    <t>ІЩЕНКО ІГОР ОЛЕКСАНДРОВИЧ</t>
  </si>
  <si>
    <t>Ідентифікатор договору (Використовується при звітуванні у E-data)</t>
  </si>
  <si>
    <t>Ідентифікатор закупівлі</t>
  </si>
  <si>
    <t>Індивідуальний план учня</t>
  </si>
  <si>
    <t>Індивідуальний план учня 10ст.,4ст.</t>
  </si>
  <si>
    <t>Інформаційно-консультаційні послуги з питань організації роботи уповноваженої особи та тендерного комітету згідно Закону України "Про публічні закупівлі"</t>
  </si>
  <si>
    <t>Інформаційно-консультаційні послуги з питань організації та проведення переговорної процедури закупівлі щодо закупівлі послуг з постачаня теплової енергії згідно Закону України "Про публічні закупівлі"</t>
  </si>
  <si>
    <t>Інформаційно-програмне обслуговування комплексної програми "Універсал 7"</t>
  </si>
  <si>
    <t>Інформаційно-програмне обслуговування комплексної програми «Універсал 7» на базі як вже існуючого, так і розробленого програмного забезпечення, для автоматизації виробничої діяльності підприємства на 2 робочих місця (Пакети програмного забезпечення для фінансового аналізу та бухгалтерського обліку)</t>
  </si>
  <si>
    <t>Інформаційні таблички, вказівники</t>
  </si>
  <si>
    <t>Інші завершальні будівельні роботи</t>
  </si>
  <si>
    <t>АВАРІЙНО-РЯТУВАЛЬНИЙ ЗАГІН СПЕЦІАЛЬНОГО ПРИЗНАЧЕННЯ ГОЛОВНОГО УПРАВЛІННЯ ДЕРЖАВНОЇ СЛУЖБИ УКРАЇНИ З НАДЗВИЧАЙНИХ СИТУАЦІЙ У ПОЛТАВСЬКІЙ ОБЛАСТІ</t>
  </si>
  <si>
    <t>АДВОКАТСЬКЕ БЮРО "ВІРИ КАСЬЯН"</t>
  </si>
  <si>
    <t>АКЦІОНЕРНЕ ТОВАРИСТВО "ПОЛТАВАОБЛЕНЕРГО"</t>
  </si>
  <si>
    <t>АКЦІОНЕРНЕ ТОВАРИСТВО "СТРАХОВА КОМПАНІЯ "ББС ІНШУРАНС"</t>
  </si>
  <si>
    <t>АКЦІОНЕРНЕ ТОВАРИСТВО "УКРТЕЛЕКОМ"</t>
  </si>
  <si>
    <t>Аксесуари до робочого одягу (рукавички робочі)</t>
  </si>
  <si>
    <t>Активна акустична система з акумулятором Maximum Acoustics Mobi.150MHA, Акустична система Maximum Acoustics MobiCUBE 60, Система вушного моніторингу Prodipe IEM7120</t>
  </si>
  <si>
    <t>Акустична система Prodipe PRO 7 V4 WW</t>
  </si>
  <si>
    <t>Акустична система Prodipe PRO 7 V4 WW код (ДК 021:2015 - 32340000-8 - Мікрофони та гучномовці)</t>
  </si>
  <si>
    <t>Акустична система активна Maximum Acoustic Mobi 150A,  Комбопідсилювач LINE6 SPIDER V 20 MKII, Кабінет басовий EBS 112CL, classic Line 1x12", 250W, Підсилювач "голова" - басовий EBS RD250 REIDMAR, Кабель аудіо із з'єднувачами/конекторами BESPECO SLY2JR180 , Роз'єм адаптор  SLAD165, Джек "моно" BESPECO S50, Кабель комутаційний BESPECO ULE150, Кабель комутаційний BESPECO ULH150)</t>
  </si>
  <si>
    <t>Антисептичні засоби для рук</t>
  </si>
  <si>
    <t>Антисептичні та дезінфекційні засоби</t>
  </si>
  <si>
    <t xml:space="preserve">Антисептичні та дезінфекційні засоби </t>
  </si>
  <si>
    <t>БЄЛОВ КОСТЯНТИН ЛЬВОВИЧ</t>
  </si>
  <si>
    <t>БІЛИШКО РУСЛАН ГРИГОРОВИЧ</t>
  </si>
  <si>
    <t>БИШОК ІВАН ВОЛОДИМИРОВИЧ</t>
  </si>
  <si>
    <t>БОЖОК НАТАЛІЯ МИХАЙЛІВНА</t>
  </si>
  <si>
    <t>БОЙКО ОЛЕГ ВОЛОДИМИРОВИЧ</t>
  </si>
  <si>
    <t>БОНДАРЕНКО ОЛЬГА МИКОЛАЇВНА</t>
  </si>
  <si>
    <t>БРОЯК АНДРІЙ ВОЛОДИМИРОВИЧ</t>
  </si>
  <si>
    <t>БУЛАНИЙ ЮРІЙ АНАТОЛІЙОВИЧ</t>
  </si>
  <si>
    <t xml:space="preserve">Багатофункційний пристрій Canon i-SENSYS MF264dw c Wi-Fi (2925C016) </t>
  </si>
  <si>
    <t>Багатофункціональний пристрій Konica Minolta</t>
  </si>
  <si>
    <t>Багатофункціональний пристрій Konica Minolta BH4020i</t>
  </si>
  <si>
    <t>Барвники і пігменти</t>
  </si>
  <si>
    <t>Бензин А-95</t>
  </si>
  <si>
    <t>Бензин А-95 Євро5-ЕО</t>
  </si>
  <si>
    <t>Бензин А95</t>
  </si>
  <si>
    <t>Будівельні матеріали</t>
  </si>
  <si>
    <t>Будівельні матеріали в асортименті</t>
  </si>
  <si>
    <t>Білизна</t>
  </si>
  <si>
    <t>Вивезення та захоронення на міському звалищі твердих побутових відходів</t>
  </si>
  <si>
    <t>Виготовлення інтерв'ю, висвітлення діяльності та підготовка і розміщення інформаційних матеріалів в ефірі ФМ радіостанцій</t>
  </si>
  <si>
    <t>Виготовлення, адміністрування та інформаційне супроводження веб-сайту Полтавської ДМШ №1 ім. П.І.Майбороди</t>
  </si>
  <si>
    <t>Висвітлення діяльності Полтавської дитячої музичної школи №1 ім. П.І. Майбороди, відділів, посадових осіб</t>
  </si>
  <si>
    <t>Висвітлення діяльності в ефірі радіостанцій</t>
  </si>
  <si>
    <t>Висвітлення діяльності по розміщенню оголошень, інформаційних матеріалів для публікації в газеті</t>
  </si>
  <si>
    <t>Висвітлення діяльності у мережі інтернет</t>
  </si>
  <si>
    <t>Відкриті торги з особливостями</t>
  </si>
  <si>
    <t>Вішалка</t>
  </si>
  <si>
    <t>Господарські товари (туалетний папір)</t>
  </si>
  <si>
    <t>Господарські товари в асортименті (засоби для чищення)</t>
  </si>
  <si>
    <t>Господарські товари в асортименті (знаряддя для миття вікон)</t>
  </si>
  <si>
    <t>Господарські товари в асортименті (освіжувач повітря)</t>
  </si>
  <si>
    <t>Господарські товари в асортименті (пакети для сміття)</t>
  </si>
  <si>
    <t>Господарські товари в асортименті (продукція для чищення)</t>
  </si>
  <si>
    <t>Господарські товари в асортименті (туалетний папір)</t>
  </si>
  <si>
    <t>Господарчі товари (засіб для миття скла)</t>
  </si>
  <si>
    <t>Губки</t>
  </si>
  <si>
    <t xml:space="preserve">Гідравлічні випробування внутрішньобудинкової системи центрального опалення будівлі </t>
  </si>
  <si>
    <t>Гідравлічні випробування внутрішньобудинкової системи центрального опалення будівлі Полтавської дитячої музичної школи №1 ім. П.І. Майбороди за адресою вул. Стрітенська буд.35</t>
  </si>
  <si>
    <t>Гідравлічні випробування та ремонт трубопроводів системи опалення</t>
  </si>
  <si>
    <t>Гітарний процесор Line 6 POD Go</t>
  </si>
  <si>
    <t>ДК 021:2015: 09320000-8 — Пара, гаряча вода та пов’язана продукція (Постачання теплової енергії)</t>
  </si>
  <si>
    <t>ДК 021:2015: 39110000-6: - Сидіння, стільці та супутні вироби і частини до них (Стільці)</t>
  </si>
  <si>
    <t>Дата закінчення договору:</t>
  </si>
  <si>
    <t>Дата підписання договору:</t>
  </si>
  <si>
    <t>Джерело безперебійного живлення 360Вт, 600В*А</t>
  </si>
  <si>
    <t>Дзеркало напольне для танцювальних класів 1500*2000</t>
  </si>
  <si>
    <t>Добровільне страхування майна  орендної будівлі за адресою м. Полтава вул. Алмазна буд.2А</t>
  </si>
  <si>
    <t>Добровільне страхування майна та відповідальності - орендної будівлі за адресою м. Полтава вул. Алмазна буд.2А</t>
  </si>
  <si>
    <t>Добровільне страхування майна- будівлі за адресою м. Полтава вул. Стрітенська буд.35</t>
  </si>
  <si>
    <t>Добровільне страхування майна- нежитлової будівлі за адресою м. Полтава вул. Стрітенська буд.35</t>
  </si>
  <si>
    <t>Додаткова угода U/3977/1</t>
  </si>
  <si>
    <t>Доступ до мережі Інтернет</t>
  </si>
  <si>
    <t>Доступ до мережі Інтернет (електронні комунікаційні послуги)</t>
  </si>
  <si>
    <t>Друкована продукція: свідоцтва, відомості</t>
  </si>
  <si>
    <t>Друковані книги</t>
  </si>
  <si>
    <t>Діагностування та технічне обслуговування вогнегасників</t>
  </si>
  <si>
    <t>Діагнустування та перезарядка вогнегасників</t>
  </si>
  <si>
    <t>Екран на штативі ПРО-ЕКРАН</t>
  </si>
  <si>
    <t>Електрична енергія</t>
  </si>
  <si>
    <t>Електрична енергія (електрична енергія (універсальна послуга))</t>
  </si>
  <si>
    <t>Електромонтажні роботи</t>
  </si>
  <si>
    <t>Журнали канцелярські</t>
  </si>
  <si>
    <t xml:space="preserve">Журнали канцелярські </t>
  </si>
  <si>
    <t xml:space="preserve">Журнали канцелярські (класний журнал) </t>
  </si>
  <si>
    <t>З ПДВ</t>
  </si>
  <si>
    <t>Закупівля без використання електронної системи</t>
  </si>
  <si>
    <t xml:space="preserve">Заправка, відновлення та заміна картриджів офісної техніки. </t>
  </si>
  <si>
    <t>Засоби для дезінфекції</t>
  </si>
  <si>
    <t>Засоби для миття підлоги</t>
  </si>
  <si>
    <t>Засоби для прання і миття</t>
  </si>
  <si>
    <t>Засоби для чищення</t>
  </si>
  <si>
    <t>Засоби миючі універсальні</t>
  </si>
  <si>
    <t>Засоби пожежогасіння (вогнегасники, кріплення до вогнегасника, ящик для піску)</t>
  </si>
  <si>
    <t>Засоби пожежогасіння -щит пожежний в комплекті ( код ДК 021:2015 35110000-8- Протипожежне, рятувальне та захисне обладнання)</t>
  </si>
  <si>
    <t>Засооби для дезінфекції</t>
  </si>
  <si>
    <t>Засіб для дезинфекції рук</t>
  </si>
  <si>
    <t>Засіб для дезінфекції рук</t>
  </si>
  <si>
    <t>Засіб для миття підлоги ,5 л</t>
  </si>
  <si>
    <t>Засіб для чищення унітазів, 1л</t>
  </si>
  <si>
    <t>Засіб миючий відбілюючий "Білизна"</t>
  </si>
  <si>
    <t>Засіб миючий універсальний 5л.(для підлоги) , Мило рідке  5л , Універсал Гель 1л. , склоочисник 5л</t>
  </si>
  <si>
    <t xml:space="preserve">Засіб миючий універсальний 5л.(для підлоги) , Мило рідке  5л , Універсал Гель 1л. , склоочисник 5л
</t>
  </si>
  <si>
    <t xml:space="preserve">Захищені носії особистих ключів </t>
  </si>
  <si>
    <t>Захищені носії особистих ключів (SecureToken-337M)</t>
  </si>
  <si>
    <t>Захищені носії особистих ключів (Засіб КЗІ "SecureToken-337M" (експ.висн. ДССЗЗІ України №04/03/02-2332 від 30.06.2017 р.) з ліцензією на ПП "Надійний засібЕЦП "CryptoLibV2")</t>
  </si>
  <si>
    <t>Звіт створено 4 лютого о 13:18 з використанням http://zakupivli.pro</t>
  </si>
  <si>
    <t>Знаряддя (пензель флейцевий, валік малярний)</t>
  </si>
  <si>
    <t>Знаряддя (сапа, держак для сапи)</t>
  </si>
  <si>
    <t>КАМАЛЕТДІНОВ РОМАН РІНАТОВИЧ</t>
  </si>
  <si>
    <t>КАМАЛЕТДІНОВ РОМАН РІНАТОВИЧ ФОП</t>
  </si>
  <si>
    <t>КЛУННИК АНДРІЙ ВІКТОРОВИЧ</t>
  </si>
  <si>
    <t>КОМУНАЛЬНЕ ПІДПРИЄМСТВО ПОЛТАВСЬКОЇ ОБЛАСНОЇ РАДИ "ПОЛТАВАВОДОКАНАЛ"</t>
  </si>
  <si>
    <t>КОМУНАЛЬНЕ ПІДПРИЄМСТВО ПОЛТАВСЬКОЇ ОБЛАСНОЇ РАДИ "УЧБОВО-КУРСОВИЙ КОМБІНАТ ЖИТЛОВО-КОМУНАЛЬНОГО ГОСПОДАРСТВА "</t>
  </si>
  <si>
    <t>КОНДРАТЕНКО ЛЕСЯ ЛЕОНІДІВНА</t>
  </si>
  <si>
    <t>КОНОНЕНКО ДЕНИС АНДРІЙОВИЧ</t>
  </si>
  <si>
    <t>КП-17.05.23</t>
  </si>
  <si>
    <t>КП-18.05.23</t>
  </si>
  <si>
    <t>КП-32-11.10/21</t>
  </si>
  <si>
    <t>КП-33-26.10/21</t>
  </si>
  <si>
    <t>КРИВЕНКО МАКСИМ ВОЛОДИМИРОВИЧ</t>
  </si>
  <si>
    <t>КРИВОРУЧКО ОКСАНА МИКОЛАЇВНА</t>
  </si>
  <si>
    <t>КРУТІЙ ЮРІЙ ОЛЕКСАНДРОВИЧ</t>
  </si>
  <si>
    <t>Калькулятор - 2 шт.</t>
  </si>
  <si>
    <t>Камалетдінов Роман Рінатович ФОП</t>
  </si>
  <si>
    <t>Канцелярські  товари: папір, степлер, скоби, антистеплер, індекси пластикові клейкі, олівці, ручки кулькові, гумки, грифель.</t>
  </si>
  <si>
    <t>Канцелярські товари</t>
  </si>
  <si>
    <t>Канцелярські товари (папір)</t>
  </si>
  <si>
    <t>Канцелярські товари в асортименті</t>
  </si>
  <si>
    <t xml:space="preserve">Канцелярські товари в асортименті
</t>
  </si>
  <si>
    <t>Канцелярські товари: папки, файли</t>
  </si>
  <si>
    <t>Каністра металева 20,0л</t>
  </si>
  <si>
    <t>Картридж для БФП</t>
  </si>
  <si>
    <t>Картридж для БФП BH4020i</t>
  </si>
  <si>
    <t>Кваліфікована електронна довірча послуга створення, перевірки та підтвердження кваліфікованого електронного підпису та печатки; формування, перевірка та підтвердження чинності кваліфікованих сертифікатів електронного підпису та печатки</t>
  </si>
  <si>
    <t>Класична гітара Salvador Cortez CC-06</t>
  </si>
  <si>
    <t>Класична гітара Salvador Cortez CC-06 (Музичні інструменти код ДК 021:2015-373100004)</t>
  </si>
  <si>
    <t xml:space="preserve">Клей </t>
  </si>
  <si>
    <t>Клей для керамічної плитки</t>
  </si>
  <si>
    <t>Клеї</t>
  </si>
  <si>
    <t>Код CPV</t>
  </si>
  <si>
    <t>Комбопідсилювач GLX LG-10, Активна акустична система з акумулятором Maximum Acoustics Mobi.150MHA</t>
  </si>
  <si>
    <t>Комплексна система управління бюджетного підприємства для введення обліку Універсал 7 SBE (електронна поставка додаткового робочого місця)</t>
  </si>
  <si>
    <t>Комплексна система управління бюджетного підприємства для введення обліку Універсал 7 SBE, перенесення бази даних, впровадження та його супровід</t>
  </si>
  <si>
    <t xml:space="preserve">Комп’ютер: системний блок (процесор AMD Ryzen 3 3200G, накопичувач SSD M.2 2280 250GB Kingston, модуль пам'яті для комп'ютера DDR4 8GB 3466 MHz HyperX FURY RGB Kingston, корпус Vinga Apache-500W,материнська плата GIGABYTE GA-A320M-S2H), монітор LG 24MK430H-B, комплект Logitech Desktop MK 120, кабель мультимедійний HDMI to DVI 24+ </t>
  </si>
  <si>
    <t>Кондиціонери</t>
  </si>
  <si>
    <t>Конструкційні матеріали</t>
  </si>
  <si>
    <t>Консультаційні послуги та розміщення інформації в засобах масової інформації  (а саме на платформі Закупівлі.Про) з питань організації та проведення відкритих торгів згідно чинного законодавства України</t>
  </si>
  <si>
    <t xml:space="preserve">Консультаційні послуги та розміщення інформації в засобах масової інформації  (а саме на платформі Закупівлі.Про) з питань організації та проведення відкритих торгів згідно чинного законодавства України
</t>
  </si>
  <si>
    <t xml:space="preserve">Користування цифровим портом </t>
  </si>
  <si>
    <t>Крем-мило</t>
  </si>
  <si>
    <t>ЛАНДАР НІНА ІВАНІВНА</t>
  </si>
  <si>
    <t>ЛУКАШ ТИМУР ГРИГОРОВИЧ</t>
  </si>
  <si>
    <t>ЛУЧЕЧКО АНАТОЛІЙ ВАЛЕРІЙОВИЧ</t>
  </si>
  <si>
    <t>ЛУЧИНА НАТАЛІЯ МИКОЛАЇВНА</t>
  </si>
  <si>
    <t>Лошак Ігор Олександрович</t>
  </si>
  <si>
    <t>Лічильник електроенергії</t>
  </si>
  <si>
    <t>Макловиця</t>
  </si>
  <si>
    <t>Мастики, шпаклівки, замазки та розчинники</t>
  </si>
  <si>
    <t>Мило</t>
  </si>
  <si>
    <t>Мило рідке , 5 л</t>
  </si>
  <si>
    <t>Мило рідке , 5л</t>
  </si>
  <si>
    <t>Монітор ASUS 21.5", TN</t>
  </si>
  <si>
    <t>Мікрофони та гучномовці</t>
  </si>
  <si>
    <t>Мікрофонна вокально-мовленева система Procipe M850 DSP DUO</t>
  </si>
  <si>
    <t>Мішки для сміття</t>
  </si>
  <si>
    <t>Мішки для сміття, мійні, 35л/100шт., чорні HOPE</t>
  </si>
  <si>
    <t>Мішки для сміття, міцні, 35л/100шт., чорні HOPE</t>
  </si>
  <si>
    <t>НАВЧАЛЬНО-МЕТОДИЧНИЙ ЦЕНТР ЦИВІЛЬНОГО ЗАХИСТУ ТА БЕЗПЕКИ ЖИТТЄДІЯЛЬНОСТІ ПОЛТАВСЬКОЇ ОБЛАСТІ</t>
  </si>
  <si>
    <t>НАУКОВО-ВИРОБНИЧЕ ТОВАРИСТВО З ОБМЕЖЕНОЮ ВІДПОВІДАЛЬНІСТЮ "НЕКСТ СТЕП-КОМП'ЮТЕРНІ МЕРЕЖІ"</t>
  </si>
  <si>
    <t>НЕМИРОВСЬКИЙ МИХАЙЛО ОЛЕКСАНДРОВИЧ</t>
  </si>
  <si>
    <t>Набори цукерок- новорічні подарунки</t>
  </si>
  <si>
    <t>Навчання відповідальної особи  з Правил технічної експлуатації теплових установок і мереж з видачею посвідчення</t>
  </si>
  <si>
    <t xml:space="preserve">Навчання відповідальної особи  з Правил технічної експлуатації теплових установок і мереж з видачею посвідчення
</t>
  </si>
  <si>
    <t>Навчання з питань пожежної безпеки посадових осіб підприємств (дистанційно) з видачею посвідчень</t>
  </si>
  <si>
    <t xml:space="preserve">Навчання з питань пожежної безпеки посадових осіб підприємств (дистанційно) з видачею посвідчень
</t>
  </si>
  <si>
    <t>Навчання та перевірка знань з Закону України «Про охорону праці» та з Системи стандартів безпеки праці і промислової безпеки в будівництві з видачею посвідчення</t>
  </si>
  <si>
    <t xml:space="preserve">Навчання та перевірки знань з нормативно-правових актів з питань охорони праці </t>
  </si>
  <si>
    <t>Надання доступу до мережі інтернет</t>
  </si>
  <si>
    <t xml:space="preserve">Надання послуг з централізованого водопостачання та централізованого водовідведення </t>
  </si>
  <si>
    <t xml:space="preserve">Нафтопродукти (Бензин А-95) </t>
  </si>
  <si>
    <t>Нафтопродукти (бензин)</t>
  </si>
  <si>
    <t>Номер договору</t>
  </si>
  <si>
    <t>Ноутбук Apple A2337 MacBook Air 13.3” Retina Space Gray</t>
  </si>
  <si>
    <t>Ноутбук Lenovo ThinkPad E14</t>
  </si>
  <si>
    <t>Ні</t>
  </si>
  <si>
    <t>ОПРИШКО ОЛЕКСАНДР ВАСИЛЬОВИЧ</t>
  </si>
  <si>
    <t>Обробка дерев"яних конструкцій даху в Полтавській дитячій музичній школі №1 ім. П.І. Майбороди вогнезахисними сумішами</t>
  </si>
  <si>
    <t>Обслуговування пожежної сигналізації (заміна АКБ резервного живлення ППКП)</t>
  </si>
  <si>
    <t>Обслуговування пожежної сигналізації (заміна АКБ резервного живлення ППКТ)</t>
  </si>
  <si>
    <t>Обстеження електромереж, електровимірювальних робіт та виготовлення технічної документації</t>
  </si>
  <si>
    <t xml:space="preserve">Освіжувач повітря </t>
  </si>
  <si>
    <t>Освіжувач повітря "Fresh room" 250 мл (змінний балон)</t>
  </si>
  <si>
    <t>Освіжувач повітря (змінний балон)</t>
  </si>
  <si>
    <t>Освіжувач повітря 250мл (змінний балон)</t>
  </si>
  <si>
    <t xml:space="preserve">Освіжувач повітря 250мл (змінний балон)
</t>
  </si>
  <si>
    <t>Освіжувачі повітря</t>
  </si>
  <si>
    <t>Офісне устаткування та приладдя різне (канцелярське приладдя)</t>
  </si>
  <si>
    <t xml:space="preserve">Офісне устаткування та приладдя різне: папір для друку, кулькові ручки, ручки маркери, механичні олівці, змінні грифелі, ручки-коректори, настільні лотки та органайзери, ділові щоденники, скоби, кнопки, канцелярські скріпки, папір для письма, затискачі, теки-реєстратори, розділювачі сторінок, коректори, канцелярські товари, </t>
  </si>
  <si>
    <t>Офісні меблі</t>
  </si>
  <si>
    <t>Офісні меблі: стіл офісний індивідуальний 240-150, стіл приставний 100-800</t>
  </si>
  <si>
    <t>Офісні меблі: стіл офісний індивідуальний, стіл приставний</t>
  </si>
  <si>
    <t>Охоронні послуги</t>
  </si>
  <si>
    <t>Охоронні послуги (послуги систем безпеки), пов'язані з виїздом співробітників Виконавця для охорони майна, що знаходиться на об'єктах замовника, після одержання на пульт централізованого спостереження тривожних сигналів "Тривога" від системи охоронної та тривожної сигналізації Замовника.</t>
  </si>
  <si>
    <t>Охоронні послуги код ДК 021:2015 - 79710000-4 - Охоронні послуги</t>
  </si>
  <si>
    <t>Охоронні послуги об"єкта м.Полтава вул. Стрітенська буд.35</t>
  </si>
  <si>
    <t>ПІШНЯК РОМАН ВАСИЛЬОВИЧ</t>
  </si>
  <si>
    <t>ПОЛТАВСЬКА ОБ'ЄДНАНА ФІЛІЯ АКЦІОНЕРНОГО ТОВАРИСТВА "ПОЛТАВАОБЛЕНЕРГО"</t>
  </si>
  <si>
    <t>ПОЛТАВСЬКА ТОРГОВО-ПРОМИСЛОВА ПАЛАТА</t>
  </si>
  <si>
    <t>ПОЛТАВСЬКА ФІЛІЯ АКЦІОНЕРНОГО ТОВАРИСТВА "УКРТЕЛЕКОМ"</t>
  </si>
  <si>
    <t>ПОЛТАВСЬКА ФІЛІЯ ТОВАРИСТВА З ОБМЕЖЕНОЮ ВІДПОВІДАЛЬНІСТЮ "ПОЖЕЖНЕ СПОСТЕРІГАННЯ"</t>
  </si>
  <si>
    <t>ПОЛТАВСЬКЕ КОМУНАЛЬНЕ АВТОТРАНСПОРТНЕ ПІДПРИЄМСТВО 1628</t>
  </si>
  <si>
    <t>ПОЛТАВСЬКЕ ОБЛАСНЕ КОМУНАЛЬНЕ ВИРОБНИЧЕ ПІДПРИЄМСТВО ТЕПЛОВОГО ГОСПОДАРСТВА "ПОЛТАВАТЕПЛОЕНЕРГО"</t>
  </si>
  <si>
    <t>ПОПОВИЧ ІРИНА ІВАНІВНА</t>
  </si>
  <si>
    <t>ПП "ПОЛТАВА ТРАНС ЛОГІСТИК"</t>
  </si>
  <si>
    <t>ПРИВАТНЕ АКЦІОНЕРНЕ ТОВАРИСТВО "СТРАХОВА КОМПАНІЯ "БРОКБІЗНЕС"</t>
  </si>
  <si>
    <t>ПРИВАТНЕ ПІДПРИЄМСТВО "ІНФОЛ-СЕРВІС"</t>
  </si>
  <si>
    <t>ПРИВАТНЕ ПІДПРИЄМСТВО "КОЛБІ ТЕРМ"</t>
  </si>
  <si>
    <t>ПРИВАТНЕ ПІДПРИЄМСТВО "НАУКОВО-КОНСУЛЬТАЦІЙНИЙ ЕКСПОЦЕНТР"</t>
  </si>
  <si>
    <t>ПРИВАТНЕ ПІДПРИЄМСТВО "ОХОРОНА "АНТАРЕС-2000"</t>
  </si>
  <si>
    <t>ПРИВАТНЕ ПІДПРИЄМСТВО "ПОЛТАВСЬКИЙ ВІСНИК"</t>
  </si>
  <si>
    <t>ПРИВАТНЕ ПІДПРИЄМСТВО "ФОКА"</t>
  </si>
  <si>
    <t>ПРИВАТНЕ ПІДПРИЄМСТВО "ЯВІР-2000"</t>
  </si>
  <si>
    <t>ПУБЛІЧНЕ АКЦІОНЕРНЕ ТОВАРИСТВО "УКРТЕЛЕКОМ"</t>
  </si>
  <si>
    <t>ПФ ТОВ "Пожежне спостерігання"</t>
  </si>
  <si>
    <t>Пакет для сміття  35л</t>
  </si>
  <si>
    <t xml:space="preserve">Пакет для сміття  35л
</t>
  </si>
  <si>
    <t>Пакет для сміття "Чистий світ" 35л 30шт</t>
  </si>
  <si>
    <t>Пакети для сміття</t>
  </si>
  <si>
    <t>Пакети програмного забезпечення для фінансового аналізу та бухгалтерського обліку</t>
  </si>
  <si>
    <t>Пакети програмного забеспечення для фінансового аналізу та бухгалтерського обліку (Інформаційно-програмне обслуговування комплексної програми "Універсал 7")</t>
  </si>
  <si>
    <t>Паперові реєстраційні журнали</t>
  </si>
  <si>
    <t>Паперові та реєстраційні журнали: книга батьківської оплати, книга обліку педаг. навантаження, книга обліку педаг. навантаження, індивідуальний план учня, журнал інд. учбових завдань</t>
  </si>
  <si>
    <t xml:space="preserve">Паперові чи картонні реєстраційні журнали: 
- книга обліку педаг. навантаження на 100 арк. пл.80, тверда обкладинка  – 1 шт.; 
- книга обліку педаг. навантаження на 40 арк. пл.80, тверда обкладинка  – 1 шт.;
- індивідуальний план учня 8 арк. пл. 45 – 49 шт.,
- книга засідань 100 арк. пл.80, тверда обкладинка – 7 шт,
- журнал групових учбових завдань 100 арк.,пл. 80, тверда обкладинка–8 шт. </t>
  </si>
  <si>
    <t>Папка-швидкозшивач</t>
  </si>
  <si>
    <t>Папка-швидкосшивач А4</t>
  </si>
  <si>
    <t>Папір А4</t>
  </si>
  <si>
    <t>Папір щ,80 А4</t>
  </si>
  <si>
    <t>Папір щ.80 А4</t>
  </si>
  <si>
    <t>Пара, гаряча вода та пов"язана продукція</t>
  </si>
  <si>
    <t xml:space="preserve">Пара, гаряча вода та пов"язана продукція
</t>
  </si>
  <si>
    <t xml:space="preserve">Пара, гаряча вода та пов’язана продукція </t>
  </si>
  <si>
    <t>Педаль для  барабана в кейсі ТАМА HР900PMCS</t>
  </si>
  <si>
    <t>Педаль для  барабана в кейсі ТАМА HР900PMCS (ДК 021:2015: 37320000-7 Частини та приладдя до музичних інструментів)</t>
  </si>
  <si>
    <t>Педаль для бас-барабана ТАМА НР900PWN</t>
  </si>
  <si>
    <t>Педаль для бас-барабана ТАМА НР900PWN (ДК 021:2015: 37320000-7 Частини та приладдя до музичних інструментів)</t>
  </si>
  <si>
    <t>Пензель флейцевий</t>
  </si>
  <si>
    <t>Перевірка системи заземлення, електровимірювальні послуги</t>
  </si>
  <si>
    <t>Переговорна процедура, скорочена</t>
  </si>
  <si>
    <t>Перезарядка вогнегасників</t>
  </si>
  <si>
    <t>Переможець (назва)</t>
  </si>
  <si>
    <t>Плт/000726-JAR</t>
  </si>
  <si>
    <t>Плт/001018-JAH</t>
  </si>
  <si>
    <t>Плт/001232-JCA</t>
  </si>
  <si>
    <t>Плт/001252-JCA</t>
  </si>
  <si>
    <t>Плт/001374-JАН</t>
  </si>
  <si>
    <t>Плт/001584-JAH</t>
  </si>
  <si>
    <t>Пневмоциліндр лінійної дії AG до стільця</t>
  </si>
  <si>
    <t>Поводження з твердими побутовими відходами</t>
  </si>
  <si>
    <t>Пожежні щити в комплекції (щит протипожежний, лом, багор, відро-конус, покривало протипожежне) - 2 компл.</t>
  </si>
  <si>
    <t>Пожежні щити в комплекції - 2 шт</t>
  </si>
  <si>
    <t xml:space="preserve">Полотно неткане, рулон </t>
  </si>
  <si>
    <t>Полотно неткане, рулон (для миття підлоги)</t>
  </si>
  <si>
    <t>Полтавська філія ТОВ "Пожежне спостереження"</t>
  </si>
  <si>
    <t>Поліетиленові мішки та пакети для сміття</t>
  </si>
  <si>
    <t>Послуга з незалежної оцінки вартості нежитлового приміщення</t>
  </si>
  <si>
    <t>Послуга із заміни акумуляторів в пристроях систем охоронної сигналізації</t>
  </si>
  <si>
    <t>Послуги доступу до мережі Інтернет (електронні комунікаційні послуги)</t>
  </si>
  <si>
    <t>Послуги з виконання обстеження електромереж, електровимірювальних робіт та виготовлення технічної документації</t>
  </si>
  <si>
    <t>Послуги з відведення стічних вод (послуги з централізованого водовідведення)</t>
  </si>
  <si>
    <t>Послуги з навчання фахівця за курсом : «Курс підвищення кваліфікації з військового обліку з видачею свідоцтва державного зразка від КНЕУ»</t>
  </si>
  <si>
    <t>Послуги з несистемного технічного обслуговування та поточного ремонту електричної мережі (електрощитової) в Полтавській дитячій музичній школі №1 ім. П.І. Майбороди</t>
  </si>
  <si>
    <t>Послуги з несистемного технічного обслуговування та поточного ремонту електричної мережі в Полтавській дитячій музичній школі №1 ім. П.І. Майбороди</t>
  </si>
  <si>
    <t>Послуги з обробки даних</t>
  </si>
  <si>
    <t>Послуги з обробки даних, постачання, видачі та обслуговування кваліфікованих сертифікатів відкритих ключів кваліфікованого електронного підпису</t>
  </si>
  <si>
    <t>Послуги з обслуговування протипожежної сигналізації</t>
  </si>
  <si>
    <t>Послуги з оновлень комп'ютерної програми "M.E.Doc" Модуль "M.E.Doc Звітність"</t>
  </si>
  <si>
    <t xml:space="preserve">Послуги з оновлень комп'ютерної програми "M.E.Doc" Модуль "M.E.Doc Звітність" </t>
  </si>
  <si>
    <t>Послуги з оновлень комп'ютерної програми ''M.E.Doc" Модуль "M.E.Doc Звітність"</t>
  </si>
  <si>
    <t>Послуги з оновлень комп’ютерної програми “M.E.Doc” Модуль “M.E.Doc Звітність”</t>
  </si>
  <si>
    <t>Послуги з передавання даних і повідомлень</t>
  </si>
  <si>
    <t>Послуги з передавання даних і повідомлень (електронні комунікаційні послуги), а також послуги, пов'язані технологічно з електронними комунікаційними послугами</t>
  </si>
  <si>
    <t xml:space="preserve">Послуги з передавання даних і повідомлень, а також послуги, пов'язані технологічно з електронними комунікаційними послугами </t>
  </si>
  <si>
    <t>Послуги з перезарядки вогнегасників</t>
  </si>
  <si>
    <t xml:space="preserve">Послуги з поводження з побутовими відходами </t>
  </si>
  <si>
    <t>Послуги з поводження з твердими побутовими відходами</t>
  </si>
  <si>
    <t>Послуги з постачання примірника та пакетів оновлень комп’ютерної програми “M.E.Doc” Модуль “Звітність”</t>
  </si>
  <si>
    <t>Послуги з постачання примірника та пакетів оновлень комп’ютерної програми “M.E.Doc” Модуль “Облік ПДВ” на рік</t>
  </si>
  <si>
    <t>Послуги з поточно-аварійного ремонту вентиляції підвального приміщення (укриття) Полтавської дитячої музичної школи №1 ім. П.І. Майбороди за адресою м. Полтава вул. Стрітенська буд. 35</t>
  </si>
  <si>
    <t>Послуги з поточно-аварійного ремонту опалювальних приладів Полтавської дитячої музичної школи №1 ім. П.І.Майбороди</t>
  </si>
  <si>
    <t>Послуги з поточно-аварійного ремонту підвального приміщення (електромонтажні роботи) Полтавської дитячої музичної школи №1 ім. П.І. Майбороди за адресою м. Полтава вул. Стрітенська буд. 35</t>
  </si>
  <si>
    <t>Послуги з поточно-аварійного ремонту підвального приміщення Полтавської дитячої музичної школи №1 ім. П.І. Майбороди за адресою м. Полтава вул. Стрітенська буд. 35</t>
  </si>
  <si>
    <t>Послуги з поточно-аварійного ремонту підлоги підвального приміщення (укриття) Полтавської дитячої музичної школи №1 ім. П.І. Майбороди за адресою вул. Стрітенська,35</t>
  </si>
  <si>
    <t>Послуги з поточно-аварійного ремонту санвузла в підвальному приміщенні Полтавської дитячої музичної школи №1 ім. П.І. Майбороди за адресою вул. Стрітенська,35</t>
  </si>
  <si>
    <t>Послуги з поточно-аварійного ремонту системи теплопостачання підвального приміщення найпростішого укриття Полтавської дитячої музичної школи №1 ім. П.І.Майбороди  за адресою вул. Стрітенська буд.35 .</t>
  </si>
  <si>
    <t>Послуги з поточно-аварійного ремонту стін підвального приміщення (укриття) Полтавської дитячої музичної школи №1 ім. П.І. Майбороди за адресою вул. Стрітенська,35</t>
  </si>
  <si>
    <t>Послуги з поточного аварійного ремонту підвального приміщення (найпростішого укриття) Полтавської дитячої музичної школи №1 ім. П. І. за адресою: вул. Стрітенська, 35, м. Полтава</t>
  </si>
  <si>
    <t>Послуги з поточного аварійного ремонту підвального приміщення (найпростішого укриття) Полтавської дитячої музичної школи №1 ім. П. І. за адресою: вул. Стрітенська, 35, м. Полтава (ДК 021:2015: 45450000-6 – Інші завершальні будівельні роботи)</t>
  </si>
  <si>
    <t>Послуги з поточного аварійного ремонту санвузла та ганку Полтавської дитячої музичної школи №1 ім. П. І. Майбороди ( із забезпеченням вимог інклюзивності) за адресою: вул. Стрітенська, 35, м. Полтава (ДК 021:2015: 45450000-6 – Інші завершальні будівельні роботи)</t>
  </si>
  <si>
    <t xml:space="preserve">Послуги з поточного аварійного ремонту санвузла та ганку Полтавської дитячої музичної школи №1 ім. П. І. Майбороди ( із забезпеченням вимог інклюзивності) за адресою: вул. Стрітенська, 35, м. Полтава (ДК 021:2015: 45450000-6 – Інші завершальні будівельні роботи)
</t>
  </si>
  <si>
    <t>Послуги з поточного аварійного ремонту системи опалення в приміщенні Полтавської дитячої музичної школи №1 ім. П.І. Майбороди за адресою м.Полтава вул.Стрітенська,35</t>
  </si>
  <si>
    <t>Послуги з поточного ремонту дверного прорізу з відновленням дверей, а саме: монтажу  та демонтажу дверей з відновленням дверного полотна</t>
  </si>
  <si>
    <t>Послуги з поточного ремонту по облаштуванню споруд цивільного захисту (укриття)</t>
  </si>
  <si>
    <t>Послуги з поточного ремонту та технічного обслуговування звукового обладнання (заміна фейдера до пульта JB Sound 25шт, заміна потенціометра до Fender FM100 10шт, заміна Мембран драйвера BM-450 до акустичних систем 2шт, ін.)</t>
  </si>
  <si>
    <t>Послуги з поточного ремонту та технічного обслуговування організаційної техніки (поточний ремонт ксерокс)</t>
  </si>
  <si>
    <t>Послуги з поточного-аварійного ремонту опалювальних приладів Полтавської ДМШ №1 ім. П.І.Майбороди</t>
  </si>
  <si>
    <t xml:space="preserve">Послуги з поточного-аварійного ремонту опалювальних приладів Полтавської ДМШ №1 ім. П.І.Майбороди
</t>
  </si>
  <si>
    <t>Послуги з проведення гідравлічного випробування системи опалення Полтавської дитячої музичної школи №1 ім. П. І. Майбороди за адресою: вул. Стрітенська, 35, м. Полтава</t>
  </si>
  <si>
    <t>Послуги з професійної підготовки у сфері підвищення кваліфікації</t>
  </si>
  <si>
    <t>Послуги з професійної підготовки у сфері підвищення кваліфікації керівного складу та фахівців, діяльність яких пов'язана з організацією і здійсненням заходів з питань цивільного захисту</t>
  </si>
  <si>
    <t>Послуги з ремонту і технічного обслуговування вимірювальних, випробувальних і контрольних приладів вузла обліку теплової енегргії - водолічильника гарячої води.</t>
  </si>
  <si>
    <t>Послуги з ремонту і технічного обслуговування електричного і механічного устаткування будівель</t>
  </si>
  <si>
    <t>Послуги з ремонту і технічного обслуговування персональних комп'ютерів</t>
  </si>
  <si>
    <t>Послуги з ремонту і технічного обслуговування персональних комп’ютерів</t>
  </si>
  <si>
    <t xml:space="preserve">Послуги з ремонту і технічного обслуговування персональних комп’ютерів:
- по поточному ремонту комп’ютерної техніки із заміною витратних матеріалів;
 - по системно-технічному обслуговуванню комп’ютерної техніки;
 - по супроводженню локальної мережі;
 - по оптимізації дисків, настроювання параметрів комп’ютерів для їх оптимальної роботи з програмним забезпеченням;
 - проводити контроль правильності налаштувань встановленого програмного забезпечення та програмування режимів роботи, а при необхідності переустановлення та переконфігурацію програмного забезпечення
</t>
  </si>
  <si>
    <t>Послуги з ремонту і технічного обслуговування протипожежного обладнання</t>
  </si>
  <si>
    <t>Послуги з ремонту і технічного обслуговування систем центрального опалення</t>
  </si>
  <si>
    <t>Послуги з технічного обслуговування  обладнання (сценічне та звукове)</t>
  </si>
  <si>
    <t>Послуги з технічного обслуговування  обладнання (сценічне та звукове) в Полтавській ДМШ №1 ім. П.І. Майбороди</t>
  </si>
  <si>
    <t>Послуги з технічного обслуговування кондиціонерів</t>
  </si>
  <si>
    <t xml:space="preserve">Послуги з технічного обслуговування кондиціонерів
</t>
  </si>
  <si>
    <t>Послуги з технічного обслуговування сценічного та звукового  обладнання  (синтезаторів, радіосистем, підсилювачів, акустичних систем та ін.)</t>
  </si>
  <si>
    <t>Послуги з технічного обслуговування та поточного ремонту офісної техніки</t>
  </si>
  <si>
    <t>Послуги з технічного огляду та випробувань</t>
  </si>
  <si>
    <t>Послуги з управління  твердими побутовими відходами</t>
  </si>
  <si>
    <t>Послуги з управління побутовими відходами контейнерною системою</t>
  </si>
  <si>
    <t>Послуги з централізованого водовіведення</t>
  </si>
  <si>
    <t>Послуги з централізованого водовідведення</t>
  </si>
  <si>
    <t xml:space="preserve">Послуги з централізованого водовідведення код ДК 021:2015 90430000-0 Послуги з відведення стічних вод </t>
  </si>
  <si>
    <t>Послуги з централізованого водопостачання</t>
  </si>
  <si>
    <t xml:space="preserve">Послуги з централізованого водопостачання </t>
  </si>
  <si>
    <t>Послуги з цілодобового нагляду за працездатністю об"єктової пожежної сигналізації</t>
  </si>
  <si>
    <t>Послуги користування цифрового порту</t>
  </si>
  <si>
    <t xml:space="preserve">Послуги на відпуск теплової енергії у вигляді гарячої води </t>
  </si>
  <si>
    <t>Послуги на відпуск теплової енергії у вигляді гарячої води (128,75467 Гкал)</t>
  </si>
  <si>
    <t>Послуги надання доступу до мережі Інтернет</t>
  </si>
  <si>
    <t>Послуги охорони</t>
  </si>
  <si>
    <t>Послуги перезарядки вогнегасників</t>
  </si>
  <si>
    <t>Послуги по адмініструванню та інформаційному супроводженню веб-сайту Полтавської ДМШ№1 ім. П.І.Майбороди</t>
  </si>
  <si>
    <t>Послуги по виготовленню сайту</t>
  </si>
  <si>
    <t>Послуги по виготовленню, адмініструванню та інформаційному супроводженню веб-сайту Полтавської ДМШ№1 ім. П.І. Майбороди</t>
  </si>
  <si>
    <t xml:space="preserve">Послуги по виготовленню, адмініструванню та інформаційному супроводженню веб-сайту Полтавської ДМШ№1 ім. П.І. Майбороди код ДК 021:2015 - 72250000 -2  Послуги, пов'язані із системами та підтримкою </t>
  </si>
  <si>
    <t>Послуги по виготовленню, адмініструванню та інформаційному супроводженню веб-сайту Полтавської ДМШ№1 ім. П.І.Майбороди</t>
  </si>
  <si>
    <t>Послуги по діяльності у сфері інформатизації по обслуговуванню ПК "Універсал"</t>
  </si>
  <si>
    <t>Послуги по монтажу кондиціонеру, включаючи монтажний комплект</t>
  </si>
  <si>
    <t>Послуги по обслуговуванню ПК «Універсал»</t>
  </si>
  <si>
    <t xml:space="preserve">Послуги по обслуговуванню ПК «Універсал»  </t>
  </si>
  <si>
    <t>Послуги по обслуговуванню ПК «Універсал»  код ДК 021:2015 - 48310000-4 Пакети програмного забезпечення для створення документів</t>
  </si>
  <si>
    <t>Послуги по обслуговуванню оргтехніки</t>
  </si>
  <si>
    <t>Послуги по поточному ремонту пожежної сигналізації</t>
  </si>
  <si>
    <t>Послуги провайдерів</t>
  </si>
  <si>
    <t>Послуги провайдерів  код ДК 021:2015 72410000-7 - Послуги провайдерів</t>
  </si>
  <si>
    <t>Послуги страхування нежитлового приміщення</t>
  </si>
  <si>
    <t>Послуги телефонного зв"язку та передачі даних</t>
  </si>
  <si>
    <t>Послуги телефонного зв’язку та передачі даних</t>
  </si>
  <si>
    <t xml:space="preserve">Послуги телефонного зв’язку та передачі даних
</t>
  </si>
  <si>
    <t>Послуги у сфері локальних мереж, а саме: модернізація та налаштування локальної мережі</t>
  </si>
  <si>
    <t>Послуги у сфері локальних мереж, а саме: монтаж кабелю</t>
  </si>
  <si>
    <t>Послуги із заправки , відновлення та ремонту картриджів офісної техніки</t>
  </si>
  <si>
    <t>Послуги із технічного обслуговування комп"ютерної та організаційної техніки</t>
  </si>
  <si>
    <t>Послуги із технічного обслуговування комп'ютерної та організаційної техніки</t>
  </si>
  <si>
    <t>Послуги, пов'язані із системами та підтримкою (виготовлення, адміністрування та інформаційне супроводження веб-сайту Полтавської ДМШ№1 ім. П.І. Майбороди)</t>
  </si>
  <si>
    <t>Послуги, пов’язані із системами та підтримкою</t>
  </si>
  <si>
    <t>Постачання КП "Програмний комплекс "Варта"" з правом використання до закінчення терміну дії кваліфікованого сертифікату електронного підпису, обробка даних</t>
  </si>
  <si>
    <t xml:space="preserve">Постачання примірника та пакетів оновлень (компонент) комп'ютерної програми "M.E.Doc" Модуль "M.E.Doc Звітність" </t>
  </si>
  <si>
    <t xml:space="preserve">Постачання примірника та пакетів оновлень комп’ютерної програми “M.E.Doc” Модуль “Звітність” </t>
  </si>
  <si>
    <t>Постачання теплової енергії</t>
  </si>
  <si>
    <t xml:space="preserve">Постачання теплової енергії  код ДК 021:2025 - 09320000-8 - Пара, гаряча вода та пов’язана продукція </t>
  </si>
  <si>
    <t>Поточний ремонт з обробки дерев"яних конструкцій даху в Полтавській дитячій музичній школі №1 ім. П.І. Майбороди вогнезахисними сумішами</t>
  </si>
  <si>
    <t>Поточний ремонт локальної мережі</t>
  </si>
  <si>
    <t>Поточний ремонт ноутбука НР 250 G5</t>
  </si>
  <si>
    <t xml:space="preserve">Поточний ремонт ноутбука НР 250 G5
</t>
  </si>
  <si>
    <t>Поточний ремонт підвального приміщення Полтавської дитячої музичної школи ім. П.І.Майбороди</t>
  </si>
  <si>
    <t>Поточний ремонт системи опалення ДМШ №1 ім.П.І. Майбороди</t>
  </si>
  <si>
    <t>Поточний ремонт та технічне обслуговування обладнання системи відеоспостереження</t>
  </si>
  <si>
    <t>Поточний ремонт та технічне обслуговування організаційної техніки</t>
  </si>
  <si>
    <t>Поточний ремонт та технічне обслуговування системного блоку та копіювального апарату</t>
  </si>
  <si>
    <t>Поточний ремонт і технічне обслуговування офісної техніки</t>
  </si>
  <si>
    <t>Поточно аварійний ремонт вимощення відмостки будівлі Полтавської дитячої музичної школи №1 ім. П.І. Майбороди за адресою м. Полтава вул. Стрітенська буд. 35</t>
  </si>
  <si>
    <t>Поточно аварійний ремонт вимощення відмостки будівлі Полтавської дитячої музичної школи №1 ім. П.І. Майбороди за адресою м. Полтава вул. Стрітенська буд. 35 (ДК 021:2015 45233253-7  – Влаштування тротуарного покриття)</t>
  </si>
  <si>
    <t>Поточно-аварійний ремонт вимощення тротуарного покриття до   підвального приміщення (укриття) Полтавської дитячої музичної школи №1 ім. П.І. Майбороди</t>
  </si>
  <si>
    <t xml:space="preserve">Поточно-аварійний ремонт вимощення тротуарного покриття до   підвального приміщення (укриття) Полтавської дитячої музичної школи №1 ім. П.І. Майбороди за адресою м. Полтава вул. Стрітенська буд. 35
</t>
  </si>
  <si>
    <t>Поточно-аварійний ремонту підвального приміщення (укриття) Полтавської дитячої музичної школи №1 ім. П.І. Майбороди за адресою м. Полтава вул. Стрітенська буд. 35</t>
  </si>
  <si>
    <t>Поточно-аварійний ремонту підлоги в підвальному приміщенні Полтавської дитячої музичної школи №1 ім. П.І. Майбороди за адресою м. Полтава вул. Стрітенська буд. 35</t>
  </si>
  <si>
    <t>Предмет закупівлі</t>
  </si>
  <si>
    <t>Приватне Підприємство "ПОЛТАВА ТРАНС ЛОГІСТИК"</t>
  </si>
  <si>
    <t>Придбання нафтопродуктів Бензин А-95</t>
  </si>
  <si>
    <t>Принтер лазерний Canon s-SENSYS LBP-233dw</t>
  </si>
  <si>
    <t xml:space="preserve">Про закупівлю електричної енергії </t>
  </si>
  <si>
    <t>Про надання послуг з обробки даних, постачання, видачі та обслуговування кваліфікованих сертифікатів відкритих ключів кваліфікованого електронного підпису</t>
  </si>
  <si>
    <t>Про надання телекомунікаційних послуг споживачам, які здійснюють їх закупівлю за державні кошти</t>
  </si>
  <si>
    <t xml:space="preserve">Про охорону об'єктів з використанням охоронної сигналізації та кнопки термінового виклику </t>
  </si>
  <si>
    <t xml:space="preserve">Про постачання примірника та пакетів оновлень (компонент) комп'ютерної програми "M.E.Doc" Модуль "M.E.Doc Звітність" </t>
  </si>
  <si>
    <t>Проведення електровимірювальних робіт</t>
  </si>
  <si>
    <t>Продукція для чищення</t>
  </si>
  <si>
    <t>Пісок</t>
  </si>
  <si>
    <t xml:space="preserve">Пісок </t>
  </si>
  <si>
    <t>РДЮ-34742491</t>
  </si>
  <si>
    <t>РОМАНЕНКО СЕРГІЙ ВІКТОРОВИЧ</t>
  </si>
  <si>
    <t>Радіатори для системи опалення</t>
  </si>
  <si>
    <t xml:space="preserve">Радіатори сталеві опалювальні панельні </t>
  </si>
  <si>
    <t>Радіосистема BLXSHURE BLX24E/PG58-M17</t>
  </si>
  <si>
    <t>Регулювання та гідравлічне випробування систем централізованого опалення</t>
  </si>
  <si>
    <t>Ремонт та технічне обслуговування несправностей засобів охоронної сигналізації</t>
  </si>
  <si>
    <t>Реєстраційні журнали</t>
  </si>
  <si>
    <t>Розпломбування вузла обліку прямого включення, технічна перевірка правильності роботи засобу обліку прямого включення, заміна трифазного електролічильника прямого вмикання.</t>
  </si>
  <si>
    <t>Розподіл води (Послуги з централізованого водопостачання)</t>
  </si>
  <si>
    <t>Розподіл електричної енергії</t>
  </si>
  <si>
    <t>Розподіл електричної енергії (послуги із забезпечення перетікань реактивної електричної енергії)</t>
  </si>
  <si>
    <t>Розподіл електричної енергії (послуги із забеспечення перетікань реактивної електричної енергії)</t>
  </si>
  <si>
    <t>Рукавиці робочі</t>
  </si>
  <si>
    <t>Рукавички</t>
  </si>
  <si>
    <t xml:space="preserve">Рукавички </t>
  </si>
  <si>
    <t xml:space="preserve">Рукавички нітрилові 
</t>
  </si>
  <si>
    <t>Рукавички нітрилові 100шт чорні</t>
  </si>
  <si>
    <t>Рукавички нітрилові робочі 100шт.</t>
  </si>
  <si>
    <t>Рукавички нітрилові сині 100шт</t>
  </si>
  <si>
    <t>Рукавички нітрилові, чорні</t>
  </si>
  <si>
    <t>Ручка масляна 5 шт;
Стержень масляний 10 шт.</t>
  </si>
  <si>
    <t>САВЧЕНКО ЮРІЙ МИКОЛАЙОВИЧ</t>
  </si>
  <si>
    <t>САМСОНОВА НАТАЛІЯ ПАВЛІВНА</t>
  </si>
  <si>
    <t>САХАРОВ ВЛАДИСЛАВ ВІКТОРОВИЧ</t>
  </si>
  <si>
    <t>СЕМЕНЕЦЬ ІГОР ВАЛЕРІЙОВИЧ</t>
  </si>
  <si>
    <t>СЬОМИК ВОЛОДИМИР ГРИГОРОВИЧ</t>
  </si>
  <si>
    <t>Свідоцтва про закінчення музичної школи з додатком  для здобувачів освіти</t>
  </si>
  <si>
    <t>Свідоцтва про закінчення музичної школи з додатком для здобувачів освіти</t>
  </si>
  <si>
    <t xml:space="preserve">Свідоцтво з вкладенням А5 (відомості) </t>
  </si>
  <si>
    <t>Свідоцтво з вкладенням А5 (відомості) про закінчення освіти</t>
  </si>
  <si>
    <t>Світильники LED прозорі</t>
  </si>
  <si>
    <t>Сердюк Олексій Григорович</t>
  </si>
  <si>
    <t>Сидіння, стільці та супутні вироби і частини до них</t>
  </si>
  <si>
    <t>Скляні дзеркала</t>
  </si>
  <si>
    <t>Спеціальне навчання з охорони праці на право виконання робіт в діючих електроустановках для електротехнічного персоналу з видачею посвідчення</t>
  </si>
  <si>
    <t xml:space="preserve">Спеціальне навчання з охорони праці на право виконання робіт в діючих електроустановках для електротехнічного персоналу з видачею посвідчення
</t>
  </si>
  <si>
    <t>Спрощена закупівля</t>
  </si>
  <si>
    <t>Статус договору</t>
  </si>
  <si>
    <t>Столи</t>
  </si>
  <si>
    <t>Страхові послуги</t>
  </si>
  <si>
    <t>Страхові послуги комплексного страхування майна та відповідальності за Програмою "Оренда-Пакет"</t>
  </si>
  <si>
    <t>Страхові послуги із страхування нежитлового приміщення</t>
  </si>
  <si>
    <t>Стрічка малярна</t>
  </si>
  <si>
    <t>Стрічки, пов"язані з конструкційними матеріалами</t>
  </si>
  <si>
    <t>Стійка для хай-хета ТАМА HР605</t>
  </si>
  <si>
    <t>Стійка для хай-хета ТАМА HР605 (ДК 021:2015: 37320000-7 Частини та приладдя до музичних інструментів)</t>
  </si>
  <si>
    <t>Стільці</t>
  </si>
  <si>
    <t>Сума договору</t>
  </si>
  <si>
    <t>Суміш Кнауф</t>
  </si>
  <si>
    <t>Сіль технічна 25 кг</t>
  </si>
  <si>
    <t>ТОВ "ВП ПРОМБУДІНЖИНІРИНГ"</t>
  </si>
  <si>
    <t>ТОВ "КЕНЦ"</t>
  </si>
  <si>
    <t>ТОВ "ЛІНКАП КОМПАНІ"</t>
  </si>
  <si>
    <t>ТОВ "РСТ Термія"</t>
  </si>
  <si>
    <t>ТОВ "САЙБЕРТЕЧ"</t>
  </si>
  <si>
    <t>ТОВАРИСТВО З ОБМЕЖЕНОЮ ВІДПОВІДАЛЬНІСТЮ "ЄВРОБУД-ГАРАНТ"</t>
  </si>
  <si>
    <t>ТОВАРИСТВО З ОБМЕЖЕНОЮ ВІДПОВІДАЛЬНІСТЮ "ІНФОСВІТ ІТ СЕРВІС"</t>
  </si>
  <si>
    <t>ТОВАРИСТВО З ОБМЕЖЕНОЮ ВІДПОВІДАЛЬНІСТЮ "ІНФОСВІТ"</t>
  </si>
  <si>
    <t>ТОВАРИСТВО З ОБМЕЖЕНОЮ ВІДПОВІДАЛЬНІСТЮ "БВС РИТЕЙЛ"</t>
  </si>
  <si>
    <t>ТОВАРИСТВО З ОБМЕЖЕНОЮ ВІДПОВІДАЛЬНІСТЮ "ВИДАВНИЦТВО КОПІ-ЦЕНТР"</t>
  </si>
  <si>
    <t>ТОВАРИСТВО З ОБМЕЖЕНОЮ ВІДПОВІДАЛЬНІСТЮ "ВИРОБНИЧЕ ПІДПРИЄМСТВО "ДІАГОНАЛЬ"</t>
  </si>
  <si>
    <t>ТОВАРИСТВО З ОБМЕЖЕНОЮ ВІДПОВІДАЛЬНІСТЮ "ГРУПА КОМПАНІЙ "МЕДІАПРО"</t>
  </si>
  <si>
    <t>ТОВАРИСТВО З ОБМЕЖЕНОЮ ВІДПОВІДАЛЬНІСТЮ "ЕКСПЕРТНИЙ ВИРОБНИЧИЙ ЦЕНТР "СФЕРА"</t>
  </si>
  <si>
    <t>ТОВАРИСТВО З ОБМЕЖЕНОЮ ВІДПОВІДАЛЬНІСТЮ "КАРДЕЯ-БУД"</t>
  </si>
  <si>
    <t>ТОВАРИСТВО З ОБМЕЖЕНОЮ ВІДПОВІДАЛЬНІСТЮ "КОМПАНІЯ ЗЕНІТ ПЛЮС"</t>
  </si>
  <si>
    <t>ТОВАРИСТВО З ОБМЕЖЕНОЮ ВІДПОВІДАЛЬНІСТЮ "КОМПАНІЯ МЕРИДІАН-СЕРВІС"</t>
  </si>
  <si>
    <t>ТОВАРИСТВО З ОБМЕЖЕНОЮ ВІДПОВІДАЛЬНІСТЮ "КП - ГРУП"</t>
  </si>
  <si>
    <t>ТОВАРИСТВО З ОБМЕЖЕНОЮ ВІДПОВІДАЛЬНІСТЮ "МІНІМАКСІ"</t>
  </si>
  <si>
    <t>ТОВАРИСТВО З ОБМЕЖЕНОЮ ВІДПОВІДАЛЬНІСТЮ "МИРОТВОРЕЦЬ ПЛЮС"</t>
  </si>
  <si>
    <t>ТОВАРИСТВО З ОБМЕЖЕНОЮ ВІДПОВІДАЛЬНІСТЮ "МУЗИЧНИЙ КИТАЙ"</t>
  </si>
  <si>
    <t>ТОВАРИСТВО З ОБМЕЖЕНОЮ ВІДПОВІДАЛЬНІСТЮ "ПОЛТАВАЕНЕРГОЗБУТ"</t>
  </si>
  <si>
    <t>ТОВАРИСТВО З ОБМЕЖЕНОЮ ВІДПОВІДАЛЬНІСТЮ "СКМ МОНТАЖ"</t>
  </si>
  <si>
    <t>ТОВАРИСТВО З ОБМЕЖЕНОЮ ВІДПОВІДАЛЬНІСТЮ "СПЕЦТЕХСЕРВІС КОМПАНІ"</t>
  </si>
  <si>
    <t>ТОВАРИСТВО З ОБМЕЖЕНОЮ ВІДПОВІДАЛЬНІСТЮ "СТІЛ ТА СТІЛЕЦЬ"</t>
  </si>
  <si>
    <t>ТОВАРИСТВО З ОБМЕЖЕНОЮ ВІДПОВІДАЛЬНІСТЮ "ТВК КРАЙТ"</t>
  </si>
  <si>
    <t>ТОВАРИСТВО З ОБМЕЖЕНОЮ ВІДПОВІДАЛЬНІСТЮ "ТЕЛЕРАДІОКОМПАНІЯ "ІНФОРМАЦІЙНО-РЕКЛАМНЕ ТЕЛЕБАЧЕННЯ -ПОЛТАВА"</t>
  </si>
  <si>
    <t>ТОВАРИСТВО З ОБМЕЖЕНОЮ ВІДПОВІДАЛЬНІСТЮ "ТОРГОВЕЛЬНА КОМПАНІЯ "ЮЛІС"</t>
  </si>
  <si>
    <t>ТОВАРИСТВО З ОБМЕЖЕНОЮ ВІДПОВІДАЛЬНІСТЮ "ЦЕНТР СЕРТИФІКАЦІЇ КЛЮЧІВ "УКРАЇНА"</t>
  </si>
  <si>
    <t>ТОВАРИСТВО З ОБМЕЖЕНОЮ ВІДПОВІДАЛЬНІСТЮ "ЯВІР ПОЛТАВА-1"</t>
  </si>
  <si>
    <t>ТОВАРИСТВО З ОБМЕЖЕНОЮ ВІДПОВІДАЛЬНІСТЮ "ЯВІР-2000"</t>
  </si>
  <si>
    <t>ТОВАРИСТВО З ОБМЕЖЕНОЮ ВІДПОВІДАЛЬНІСТЮ «ЛінкАП Компані»</t>
  </si>
  <si>
    <t>ТОВАРИСТВО З ОБМЕЖЕНОЮ ВІДПОВІДАЛЬНІСТЮ «СайберТеч»</t>
  </si>
  <si>
    <t>ТОВАРИСТВО З ОБМЕЖЕНОЮ ВІДПОВІДАЛЬНІСТЮ СТУДІЯ "МІСТО"</t>
  </si>
  <si>
    <t>ТОКАР НІНА ІВАНІВНА</t>
  </si>
  <si>
    <t>ТУНІК МАКСИМ МИКОЛАЙОВИЧ</t>
  </si>
  <si>
    <t>ТУНІК ТАРАС МИКОЛАЙОВИЧ</t>
  </si>
  <si>
    <t>Табличка "Сховище", вказівник</t>
  </si>
  <si>
    <t>Так</t>
  </si>
  <si>
    <t>Телевізійні послуги</t>
  </si>
  <si>
    <t>Телевізійні послуги (розміщення інформації в ефірі телеканалу)</t>
  </si>
  <si>
    <t>Теплова енергія</t>
  </si>
  <si>
    <t xml:space="preserve">Теплова енергія у вигляді гарячої води </t>
  </si>
  <si>
    <t>Технічне обслуговування  організаційної техніки</t>
  </si>
  <si>
    <t>Технічне обслуговування  оргтехніки</t>
  </si>
  <si>
    <t>Технічне обслуговування комп'ютерної та оргтехніки (50310000-1 - Технічне обслуговування і ремонт офісної техніки)</t>
  </si>
  <si>
    <t>Технічне обслуговування кондиціонерів</t>
  </si>
  <si>
    <t>Технічне обслуговування і ремонт офісної техніки</t>
  </si>
  <si>
    <t>Технічний нагляд за об'єктом "Послуги з  поточного аварійного ремонту підвального приміщення (найпростішого укриття) Полтавської дитячої музичної школи №1 ім. П. І. Майбороди  за адресою: вул. Стрітенська, 35, м. Полтава"</t>
  </si>
  <si>
    <t>Технічний нагляд за об'єктом «Послуги з  поточного аварійного ремонту вимощення відмостки будівлі Полтавської дитячої музичної школи №1 ім. П. І. Майбороди за адресою: вул. Стрітенська, 35, м. Полтава»</t>
  </si>
  <si>
    <t xml:space="preserve">Технічний нагляд за об'єктом «Послуги з  поточного аварійного ремонту вимощення відмостки будівлі Полтавської дитячої музичної школи №1 ім. П. І. Майбороди за адресою: вул. Стрітенська, 35, м. Полтава» (ДК 021:2015 71520000-9 – Послуги з нагляду за виконанням будівельних робіт </t>
  </si>
  <si>
    <t>Технічний нагляд за об'єктом «Послуги з  поточного аварійного ремонту санвузла та ганку Полтавської дитячої музичної школи №1 ім. П. І. Майбороди ( із забезпеченням вимог інклюзивності) за адресою: вул. Стрітенська, 35, м. Полтава»</t>
  </si>
  <si>
    <t xml:space="preserve">Технічний нагляд на об'єкті-"Послуги з поточно-аварійного
 ремонту санвузла в підвальному приміщенні Полтавської дитячої музичної школи №1 ім. П.І. Майбороди за адресою м. Полтава вул. Стрітенська буд. 35"
</t>
  </si>
  <si>
    <t xml:space="preserve">Технічний нагляд на об'єкті-"Послуги з поточно-аварійного  ремонту санвузла в підвальному приміщенні Полтавської дитячої музичної школи №1 ім. П.І. Майбороди за адресою м. Полтава вул. Стрітенська буд. 35"
</t>
  </si>
  <si>
    <t>Технічний нагляд на об'єкті-"Послуги з поточно-аварійного ремонт підлоги підвального приміщення Полтавської дитячої музичної школи №1 ім. П.І. Майбороди за адресою м. Полтава вул. Стрітенська буд. 35"</t>
  </si>
  <si>
    <t>Технічний нагляд на об'єкті-"Послуги з поточно-аварійного ремонт стін підвального приміщення Полтавської дитячої музичної школи №1 ім. П.І. Майбороди за адресою м. Полтава вул. Стрітенська буд. 35"</t>
  </si>
  <si>
    <t>Технічний нагляд на об'єкті-"Послуги з поточно-аварійного ремонту системи теплопостачання підвального приміщення Полтавської дитячої музичної школи №1 ім. П.І. Майбороди за адресою м. Полтава вул. Стрітенська буд. 35"</t>
  </si>
  <si>
    <t>Тип процедури</t>
  </si>
  <si>
    <t>Товари для чищення</t>
  </si>
  <si>
    <t>Товариство з обмеженою відповідальністю "Спецтехсервіс компані"</t>
  </si>
  <si>
    <t>Туалетний папір</t>
  </si>
  <si>
    <t xml:space="preserve">Туалетний папір  рул </t>
  </si>
  <si>
    <t xml:space="preserve">Туалетний папір  рул 
</t>
  </si>
  <si>
    <t>Туалетний папір "МК" 60м/16рул</t>
  </si>
  <si>
    <t>Туалетний папір Обухів</t>
  </si>
  <si>
    <t>Тумба</t>
  </si>
  <si>
    <t>Тумби</t>
  </si>
  <si>
    <t>УСТИНОВ ЄВГЕН ЄВГЕНОВИЧ</t>
  </si>
  <si>
    <t>Ударна установка PEACE DEMOLITION DP-22NDL-5 #39 FUCHSIA  , набір стійок АРК/ХРК HARDWARE PACK , барабан перкусіний DJ djembe</t>
  </si>
  <si>
    <t>Ударна установка Premier 6099-27-S Olympic STAGE22 WineRed, ударна установка Premier 6099-25-S Olympic STAGE20 Black</t>
  </si>
  <si>
    <t>Ударні установки</t>
  </si>
  <si>
    <t>Узагальнена назва закупівлі</t>
  </si>
  <si>
    <t>Управління  твердими побутовими відходами</t>
  </si>
  <si>
    <t>Утилізація/видалення сміття та поводження зі сміттям</t>
  </si>
  <si>
    <t>ФОКА</t>
  </si>
  <si>
    <t>ФОП Гаманець  Ірина Петрівна</t>
  </si>
  <si>
    <t>ФОП Камалетдінов Роман Рінатович</t>
  </si>
  <si>
    <t>ФОП Копитко Д.Ю.</t>
  </si>
  <si>
    <t>ФОП Савченко Ю.М.</t>
  </si>
  <si>
    <t>ФОП Сорокотяга Олександр Анатолійович</t>
  </si>
  <si>
    <t>ФОП Токар Ніна Іванівна</t>
  </si>
  <si>
    <t>ФОП Шабалін Станіслав Григорович</t>
  </si>
  <si>
    <t>Фарба</t>
  </si>
  <si>
    <t>Фарба, барвник</t>
  </si>
  <si>
    <t>Фарба; Барвник</t>
  </si>
  <si>
    <t>Фарби, барвник</t>
  </si>
  <si>
    <t>Фотокамера Canon в комплекті</t>
  </si>
  <si>
    <t>Функціональне навчання (підвищення кваліфікації цільового призначення) керівного складу та фахівців, діяльність яких пов'язана з організацією і здійсненням заходів з питань цивільного захисту з видачею повідчення встановленого зразка про функціональне навчання у сфері цивільного захисту</t>
  </si>
  <si>
    <t>Фізична особа-підприємець Криворучко Оксана Миколаївна</t>
  </si>
  <si>
    <t>ХРИПКО ЯНА ВСЕВОЛОДІВНА</t>
  </si>
  <si>
    <t>Цифрове піаніно Alfabeto Animato Assai LE</t>
  </si>
  <si>
    <t>Цифрове піаніно Alfabeto Animato Assai LE (Музичні інструменти код ДК 021:2015-373100004)</t>
  </si>
  <si>
    <t>Цілодобовий нагляд за працездатністю ОПС, технічне обслуговування ОПС</t>
  </si>
  <si>
    <t>Цілодобовий нагляд за працездатністю об'єктової пожежної сигналізації</t>
  </si>
  <si>
    <t>Цілодобовий нагляд за працездатністю об'єктової пожежної сигналізації (Послуги з ремонту і технічного обслуговування вимірювальних, випробувальних і контрольних приладів)</t>
  </si>
  <si>
    <t>ЧЕРЕВАТЮК ВОЛОДИМИР ВІТАЛІЙОВИЧ</t>
  </si>
  <si>
    <t>ШЕВЧУК ДЕНИС ОЛЕКСАНДРОВИЧ</t>
  </si>
  <si>
    <t>Шпаклівка</t>
  </si>
  <si>
    <t>Шпаклівка фасадна</t>
  </si>
  <si>
    <t>Шпалери</t>
  </si>
  <si>
    <t>Юридичні послуги, пов’язані з оформленням і засвідченням документів</t>
  </si>
  <si>
    <t>активний</t>
  </si>
  <si>
    <t>закритий</t>
  </si>
  <si>
    <t>згін металевий для миття вікон</t>
  </si>
  <si>
    <t>канцтовари</t>
  </si>
  <si>
    <t>мітла пластикова, совок, щітка, швабра дерев"яна , відро пласт</t>
  </si>
  <si>
    <t>освіжувач повітря</t>
  </si>
  <si>
    <t>паперові та реєстраційні журнали:
- книга батьківської оплати на 100 арк. пл.80, тверда обкладинка – 1 шт.; 
- книга обліку педаг. навантаження на 90 арк. пл.80, тверда обкладинка  – 1 шт.; 
- книга обліку педаг. навантаження на 40 арк. пл.80, тверда обкладинка  – 1 шт.;
- індивідуальний план учня 8 арк. пл. 45 – 100 шт.,
- журнал інд. учбових завдань 50 арк.,пл 80, тверда обкладинка–10 шт.</t>
  </si>
  <si>
    <t xml:space="preserve">послуги з передавання даних і повідомлень, послуги, пов"язані технологічно з електронними комунікаційними послугами </t>
  </si>
  <si>
    <t>послуги з централізованого водовідведення</t>
  </si>
  <si>
    <t xml:space="preserve">постачання примірника та пакетів оновлень комп’ютерної програми “M.E.Doc” Модуль “Звітність” </t>
  </si>
  <si>
    <t>щит пожежний в комплекті</t>
  </si>
  <si>
    <t>інформаційні послуги з висвітлення діяльності Полтавської дитячої музичної школи №1 ім. П.І. Майбороди, відділів, посадових осіб тощо в інформаційних та інформаційно-аналітичних програмах на телеканалі «ІРТ – Полтава» та /або «Місто+»</t>
  </si>
  <si>
    <t>№</t>
  </si>
  <si>
    <t>№34742491</t>
  </si>
  <si>
    <t>№34742491/3</t>
  </si>
  <si>
    <t>№ОП/1/2020</t>
  </si>
  <si>
    <t>ПЕРЕЛІК ДІЮЧИХ ДОГОВОРІВ НА 01.02.2026р.</t>
  </si>
  <si>
    <t>Полтавська Дитяча Музична школа №1 ім. П.І. Майбороди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</si>
</sst>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y.zakupivli.pro/remote/dispatcher/state_purchase_view/56435193" TargetMode="External"/><Relationship Id="rId671" Type="http://schemas.openxmlformats.org/officeDocument/2006/relationships/hyperlink" Target="https://my.zakupivli.pro/remote/dispatcher/state_purchase_view/19565291" TargetMode="External"/><Relationship Id="rId21" Type="http://schemas.openxmlformats.org/officeDocument/2006/relationships/hyperlink" Target="https://my.zakupivli.pro/remote/dispatcher/state_purchase_view/65247460" TargetMode="External"/><Relationship Id="rId324" Type="http://schemas.openxmlformats.org/officeDocument/2006/relationships/hyperlink" Target="https://my.zakupivli.pro/remote/dispatcher/state_contracting_view/17786695" TargetMode="External"/><Relationship Id="rId531" Type="http://schemas.openxmlformats.org/officeDocument/2006/relationships/hyperlink" Target="https://my.zakupivli.pro/remote/dispatcher/state_purchase_view/32147129" TargetMode="External"/><Relationship Id="rId629" Type="http://schemas.openxmlformats.org/officeDocument/2006/relationships/hyperlink" Target="https://my.zakupivli.pro/remote/dispatcher/state_purchase_view/29236657" TargetMode="External"/><Relationship Id="rId170" Type="http://schemas.openxmlformats.org/officeDocument/2006/relationships/hyperlink" Target="https://my.zakupivli.pro/remote/dispatcher/state_contracting_view/18870018" TargetMode="External"/><Relationship Id="rId268" Type="http://schemas.openxmlformats.org/officeDocument/2006/relationships/hyperlink" Target="https://my.zakupivli.pro/remote/dispatcher/state_contracting_view/17110305" TargetMode="External"/><Relationship Id="rId475" Type="http://schemas.openxmlformats.org/officeDocument/2006/relationships/hyperlink" Target="https://my.zakupivli.pro/remote/dispatcher/state_purchase_view/34342047" TargetMode="External"/><Relationship Id="rId682" Type="http://schemas.openxmlformats.org/officeDocument/2006/relationships/hyperlink" Target="https://my.zakupivli.pro/remote/dispatcher/state_contracting_view/5626567" TargetMode="External"/><Relationship Id="rId32" Type="http://schemas.openxmlformats.org/officeDocument/2006/relationships/hyperlink" Target="https://my.zakupivli.pro/remote/dispatcher/state_contracting_view/23867778" TargetMode="External"/><Relationship Id="rId128" Type="http://schemas.openxmlformats.org/officeDocument/2006/relationships/hyperlink" Target="https://my.zakupivli.pro/remote/dispatcher/state_contracting_view/22807356" TargetMode="External"/><Relationship Id="rId335" Type="http://schemas.openxmlformats.org/officeDocument/2006/relationships/hyperlink" Target="https://my.zakupivli.pro/remote/dispatcher/state_purchase_view/42836452" TargetMode="External"/><Relationship Id="rId542" Type="http://schemas.openxmlformats.org/officeDocument/2006/relationships/hyperlink" Target="https://my.zakupivli.pro/remote/dispatcher/state_contracting_view/7315667" TargetMode="External"/><Relationship Id="rId181" Type="http://schemas.openxmlformats.org/officeDocument/2006/relationships/hyperlink" Target="https://my.zakupivli.pro/remote/dispatcher/state_purchase_view/48253203" TargetMode="External"/><Relationship Id="rId402" Type="http://schemas.openxmlformats.org/officeDocument/2006/relationships/hyperlink" Target="https://my.zakupivli.pro/remote/dispatcher/state_contracting_view/17765662" TargetMode="External"/><Relationship Id="rId279" Type="http://schemas.openxmlformats.org/officeDocument/2006/relationships/hyperlink" Target="https://my.zakupivli.pro/remote/dispatcher/state_purchase_view/41570398" TargetMode="External"/><Relationship Id="rId486" Type="http://schemas.openxmlformats.org/officeDocument/2006/relationships/hyperlink" Target="https://my.zakupivli.pro/remote/dispatcher/state_contracting_view/13483111" TargetMode="External"/><Relationship Id="rId693" Type="http://schemas.openxmlformats.org/officeDocument/2006/relationships/hyperlink" Target="https://my.zakupivli.pro/remote/dispatcher/state_purchase_view/21860706" TargetMode="External"/><Relationship Id="rId707" Type="http://schemas.openxmlformats.org/officeDocument/2006/relationships/hyperlink" Target="https://my.zakupivli.pro/remote/dispatcher/state_purchase_view/19390319" TargetMode="External"/><Relationship Id="rId43" Type="http://schemas.openxmlformats.org/officeDocument/2006/relationships/hyperlink" Target="https://my.zakupivli.pro/remote/dispatcher/state_purchase_view/56431570" TargetMode="External"/><Relationship Id="rId139" Type="http://schemas.openxmlformats.org/officeDocument/2006/relationships/hyperlink" Target="https://my.zakupivli.pro/remote/dispatcher/state_purchase_view/56414964" TargetMode="External"/><Relationship Id="rId346" Type="http://schemas.openxmlformats.org/officeDocument/2006/relationships/hyperlink" Target="https://my.zakupivli.pro/remote/dispatcher/state_contracting_view/17873991" TargetMode="External"/><Relationship Id="rId553" Type="http://schemas.openxmlformats.org/officeDocument/2006/relationships/hyperlink" Target="https://my.zakupivli.pro/remote/dispatcher/state_purchase_view/23127613" TargetMode="External"/><Relationship Id="rId192" Type="http://schemas.openxmlformats.org/officeDocument/2006/relationships/hyperlink" Target="https://my.zakupivli.pro/remote/dispatcher/state_contracting_view/21116913" TargetMode="External"/><Relationship Id="rId206" Type="http://schemas.openxmlformats.org/officeDocument/2006/relationships/hyperlink" Target="https://my.zakupivli.pro/remote/dispatcher/state_contracting_view/20657365" TargetMode="External"/><Relationship Id="rId413" Type="http://schemas.openxmlformats.org/officeDocument/2006/relationships/hyperlink" Target="https://my.zakupivli.pro/remote/dispatcher/state_purchase_view/34349238" TargetMode="External"/><Relationship Id="rId497" Type="http://schemas.openxmlformats.org/officeDocument/2006/relationships/hyperlink" Target="https://my.zakupivli.pro/remote/dispatcher/state_purchase_view/38061608" TargetMode="External"/><Relationship Id="rId620" Type="http://schemas.openxmlformats.org/officeDocument/2006/relationships/hyperlink" Target="https://my.zakupivli.pro/remote/dispatcher/state_contracting_view/10857822" TargetMode="External"/><Relationship Id="rId718" Type="http://schemas.openxmlformats.org/officeDocument/2006/relationships/hyperlink" Target="https://my.zakupivli.pro/remote/dispatcher/state_contracting_view/5523934" TargetMode="External"/><Relationship Id="rId357" Type="http://schemas.openxmlformats.org/officeDocument/2006/relationships/hyperlink" Target="https://my.zakupivli.pro/remote/dispatcher/state_purchase_view/43219714" TargetMode="External"/><Relationship Id="rId54" Type="http://schemas.openxmlformats.org/officeDocument/2006/relationships/hyperlink" Target="https://my.zakupivli.pro/remote/dispatcher/state_contracting_view/24578761" TargetMode="External"/><Relationship Id="rId217" Type="http://schemas.openxmlformats.org/officeDocument/2006/relationships/hyperlink" Target="https://my.zakupivli.pro/remote/dispatcher/state_purchase_view/55437597" TargetMode="External"/><Relationship Id="rId564" Type="http://schemas.openxmlformats.org/officeDocument/2006/relationships/hyperlink" Target="https://my.zakupivli.pro/remote/dispatcher/state_contracting_view/7291937" TargetMode="External"/><Relationship Id="rId424" Type="http://schemas.openxmlformats.org/officeDocument/2006/relationships/hyperlink" Target="https://my.zakupivli.pro/remote/dispatcher/state_contracting_view/13540467" TargetMode="External"/><Relationship Id="rId631" Type="http://schemas.openxmlformats.org/officeDocument/2006/relationships/hyperlink" Target="https://my.zakupivli.pro/remote/dispatcher/state_purchase_view/28547414" TargetMode="External"/><Relationship Id="rId270" Type="http://schemas.openxmlformats.org/officeDocument/2006/relationships/hyperlink" Target="https://my.zakupivli.pro/remote/dispatcher/state_contracting_view/17721236" TargetMode="External"/><Relationship Id="rId65" Type="http://schemas.openxmlformats.org/officeDocument/2006/relationships/hyperlink" Target="https://my.zakupivli.pro/remote/dispatcher/state_purchase_view/59361084" TargetMode="External"/><Relationship Id="rId130" Type="http://schemas.openxmlformats.org/officeDocument/2006/relationships/hyperlink" Target="https://my.zakupivli.pro/remote/dispatcher/state_contracting_view/26134009" TargetMode="External"/><Relationship Id="rId368" Type="http://schemas.openxmlformats.org/officeDocument/2006/relationships/hyperlink" Target="https://my.zakupivli.pro/remote/dispatcher/state_contracting_view/15275179" TargetMode="External"/><Relationship Id="rId575" Type="http://schemas.openxmlformats.org/officeDocument/2006/relationships/hyperlink" Target="https://my.zakupivli.pro/remote/dispatcher/state_purchase_view/26321671" TargetMode="External"/><Relationship Id="rId228" Type="http://schemas.openxmlformats.org/officeDocument/2006/relationships/hyperlink" Target="https://my.zakupivli.pro/remote/dispatcher/state_contracting_view/20333498" TargetMode="External"/><Relationship Id="rId435" Type="http://schemas.openxmlformats.org/officeDocument/2006/relationships/hyperlink" Target="https://my.zakupivli.pro/remote/dispatcher/state_purchase_view/37243141" TargetMode="External"/><Relationship Id="rId642" Type="http://schemas.openxmlformats.org/officeDocument/2006/relationships/hyperlink" Target="https://my.zakupivli.pro/remote/dispatcher/state_contracting_view/9824859" TargetMode="External"/><Relationship Id="rId281" Type="http://schemas.openxmlformats.org/officeDocument/2006/relationships/hyperlink" Target="https://my.zakupivli.pro/remote/dispatcher/state_purchase_view/41569589" TargetMode="External"/><Relationship Id="rId502" Type="http://schemas.openxmlformats.org/officeDocument/2006/relationships/hyperlink" Target="https://my.zakupivli.pro/remote/dispatcher/state_contracting_view/13413644" TargetMode="External"/><Relationship Id="rId76" Type="http://schemas.openxmlformats.org/officeDocument/2006/relationships/hyperlink" Target="https://my.zakupivli.pro/remote/dispatcher/state_contracting_view/23760193" TargetMode="External"/><Relationship Id="rId141" Type="http://schemas.openxmlformats.org/officeDocument/2006/relationships/hyperlink" Target="https://my.zakupivli.pro/remote/dispatcher/state_purchase_view/56414302" TargetMode="External"/><Relationship Id="rId379" Type="http://schemas.openxmlformats.org/officeDocument/2006/relationships/hyperlink" Target="https://my.zakupivli.pro/remote/dispatcher/state_purchase_view/45940363" TargetMode="External"/><Relationship Id="rId586" Type="http://schemas.openxmlformats.org/officeDocument/2006/relationships/hyperlink" Target="https://my.zakupivli.pro/remote/dispatcher/state_contracting_view/9819353" TargetMode="External"/><Relationship Id="rId7" Type="http://schemas.openxmlformats.org/officeDocument/2006/relationships/hyperlink" Target="https://my.zakupivli.pro/remote/dispatcher/state_purchase_view/65239725" TargetMode="External"/><Relationship Id="rId239" Type="http://schemas.openxmlformats.org/officeDocument/2006/relationships/hyperlink" Target="https://my.zakupivli.pro/remote/dispatcher/state_purchase_view/48285856" TargetMode="External"/><Relationship Id="rId446" Type="http://schemas.openxmlformats.org/officeDocument/2006/relationships/hyperlink" Target="https://my.zakupivli.pro/remote/dispatcher/state_contracting_view/13483100" TargetMode="External"/><Relationship Id="rId653" Type="http://schemas.openxmlformats.org/officeDocument/2006/relationships/hyperlink" Target="https://my.zakupivli.pro/remote/dispatcher/state_purchase_view/27075846" TargetMode="External"/><Relationship Id="rId292" Type="http://schemas.openxmlformats.org/officeDocument/2006/relationships/hyperlink" Target="https://my.zakupivli.pro/remote/dispatcher/state_contracting_view/17900608" TargetMode="External"/><Relationship Id="rId306" Type="http://schemas.openxmlformats.org/officeDocument/2006/relationships/hyperlink" Target="https://my.zakupivli.pro/remote/dispatcher/state_contracting_view/17616961" TargetMode="External"/><Relationship Id="rId87" Type="http://schemas.openxmlformats.org/officeDocument/2006/relationships/hyperlink" Target="https://my.zakupivli.pro/remote/dispatcher/state_purchase_view/64121803" TargetMode="External"/><Relationship Id="rId513" Type="http://schemas.openxmlformats.org/officeDocument/2006/relationships/hyperlink" Target="https://my.zakupivli.pro/remote/dispatcher/state_purchase_view/36325184" TargetMode="External"/><Relationship Id="rId597" Type="http://schemas.openxmlformats.org/officeDocument/2006/relationships/hyperlink" Target="https://my.zakupivli.pro/remote/dispatcher/state_purchase_view/30155617" TargetMode="External"/><Relationship Id="rId720" Type="http://schemas.openxmlformats.org/officeDocument/2006/relationships/hyperlink" Target="https://my.zakupivli.pro/remote/dispatcher/state_contracting_view/6077382" TargetMode="External"/><Relationship Id="rId152" Type="http://schemas.openxmlformats.org/officeDocument/2006/relationships/hyperlink" Target="https://my.zakupivli.pro/remote/dispatcher/state_contracting_view/26389089" TargetMode="External"/><Relationship Id="rId457" Type="http://schemas.openxmlformats.org/officeDocument/2006/relationships/hyperlink" Target="https://my.zakupivli.pro/remote/dispatcher/state_purchase_view/33832143" TargetMode="External"/><Relationship Id="rId664" Type="http://schemas.openxmlformats.org/officeDocument/2006/relationships/hyperlink" Target="https://my.zakupivli.pro/remote/dispatcher/state_contracting_view/8497377" TargetMode="External"/><Relationship Id="rId14" Type="http://schemas.openxmlformats.org/officeDocument/2006/relationships/hyperlink" Target="https://my.zakupivli.pro/remote/dispatcher/state_contracting_view/26628043" TargetMode="External"/><Relationship Id="rId317" Type="http://schemas.openxmlformats.org/officeDocument/2006/relationships/hyperlink" Target="https://my.zakupivli.pro/remote/dispatcher/state_purchase_view/40091896" TargetMode="External"/><Relationship Id="rId524" Type="http://schemas.openxmlformats.org/officeDocument/2006/relationships/hyperlink" Target="https://my.zakupivli.pro/remote/dispatcher/state_contracting_view/13045398" TargetMode="External"/><Relationship Id="rId98" Type="http://schemas.openxmlformats.org/officeDocument/2006/relationships/hyperlink" Target="https://my.zakupivli.pro/remote/dispatcher/state_contracting_view/22805477" TargetMode="External"/><Relationship Id="rId163" Type="http://schemas.openxmlformats.org/officeDocument/2006/relationships/hyperlink" Target="https://my.zakupivli.pro/remote/dispatcher/state_purchase_view/52518464" TargetMode="External"/><Relationship Id="rId370" Type="http://schemas.openxmlformats.org/officeDocument/2006/relationships/hyperlink" Target="https://my.zakupivli.pro/remote/dispatcher/state_contracting_view/16759682" TargetMode="External"/><Relationship Id="rId230" Type="http://schemas.openxmlformats.org/officeDocument/2006/relationships/hyperlink" Target="https://my.zakupivli.pro/remote/dispatcher/state_contracting_view/18875876" TargetMode="External"/><Relationship Id="rId468" Type="http://schemas.openxmlformats.org/officeDocument/2006/relationships/hyperlink" Target="https://my.zakupivli.pro/remote/dispatcher/state_contracting_view/14511965" TargetMode="External"/><Relationship Id="rId675" Type="http://schemas.openxmlformats.org/officeDocument/2006/relationships/hyperlink" Target="https://my.zakupivli.pro/remote/dispatcher/state_purchase_view/19377814" TargetMode="External"/><Relationship Id="rId25" Type="http://schemas.openxmlformats.org/officeDocument/2006/relationships/hyperlink" Target="https://my.zakupivli.pro/remote/dispatcher/state_purchase_view/58624214" TargetMode="External"/><Relationship Id="rId328" Type="http://schemas.openxmlformats.org/officeDocument/2006/relationships/hyperlink" Target="https://my.zakupivli.pro/remote/dispatcher/state_contracting_view/16105044" TargetMode="External"/><Relationship Id="rId535" Type="http://schemas.openxmlformats.org/officeDocument/2006/relationships/hyperlink" Target="https://my.zakupivli.pro/remote/dispatcher/state_purchase_view/23138868" TargetMode="External"/><Relationship Id="rId174" Type="http://schemas.openxmlformats.org/officeDocument/2006/relationships/hyperlink" Target="https://my.zakupivli.pro/remote/dispatcher/state_contracting_view/21703251" TargetMode="External"/><Relationship Id="rId381" Type="http://schemas.openxmlformats.org/officeDocument/2006/relationships/hyperlink" Target="https://my.zakupivli.pro/remote/dispatcher/state_purchase_view/46339589" TargetMode="External"/><Relationship Id="rId602" Type="http://schemas.openxmlformats.org/officeDocument/2006/relationships/hyperlink" Target="https://my.zakupivli.pro/remote/dispatcher/state_contracting_view/10956874" TargetMode="External"/><Relationship Id="rId241" Type="http://schemas.openxmlformats.org/officeDocument/2006/relationships/hyperlink" Target="https://my.zakupivli.pro/remote/dispatcher/state_purchase_view/52543852" TargetMode="External"/><Relationship Id="rId479" Type="http://schemas.openxmlformats.org/officeDocument/2006/relationships/hyperlink" Target="https://my.zakupivli.pro/remote/dispatcher/state_purchase_view/34457199" TargetMode="External"/><Relationship Id="rId686" Type="http://schemas.openxmlformats.org/officeDocument/2006/relationships/hyperlink" Target="https://my.zakupivli.pro/remote/dispatcher/state_contracting_view/5543536" TargetMode="External"/><Relationship Id="rId36" Type="http://schemas.openxmlformats.org/officeDocument/2006/relationships/hyperlink" Target="https://my.zakupivli.pro/remote/dispatcher/state_contracting_view/24561044" TargetMode="External"/><Relationship Id="rId339" Type="http://schemas.openxmlformats.org/officeDocument/2006/relationships/hyperlink" Target="https://my.zakupivli.pro/remote/dispatcher/state_purchase_view/45632093" TargetMode="External"/><Relationship Id="rId546" Type="http://schemas.openxmlformats.org/officeDocument/2006/relationships/hyperlink" Target="https://my.zakupivli.pro/remote/dispatcher/state_contracting_view/9114172" TargetMode="External"/><Relationship Id="rId101" Type="http://schemas.openxmlformats.org/officeDocument/2006/relationships/hyperlink" Target="https://my.zakupivli.pro/remote/dispatcher/state_purchase_view/60081769" TargetMode="External"/><Relationship Id="rId185" Type="http://schemas.openxmlformats.org/officeDocument/2006/relationships/hyperlink" Target="https://my.zakupivli.pro/remote/dispatcher/state_purchase_view/50466274" TargetMode="External"/><Relationship Id="rId406" Type="http://schemas.openxmlformats.org/officeDocument/2006/relationships/hyperlink" Target="https://my.zakupivli.pro/remote/dispatcher/state_contracting_view/17765794" TargetMode="External"/><Relationship Id="rId392" Type="http://schemas.openxmlformats.org/officeDocument/2006/relationships/hyperlink" Target="https://my.zakupivli.pro/remote/dispatcher/state_contracting_view/16826136" TargetMode="External"/><Relationship Id="rId613" Type="http://schemas.openxmlformats.org/officeDocument/2006/relationships/hyperlink" Target="https://my.zakupivli.pro/remote/dispatcher/state_purchase_view/29950019" TargetMode="External"/><Relationship Id="rId697" Type="http://schemas.openxmlformats.org/officeDocument/2006/relationships/hyperlink" Target="https://my.zakupivli.pro/remote/dispatcher/state_purchase_view/20703834" TargetMode="External"/><Relationship Id="rId252" Type="http://schemas.openxmlformats.org/officeDocument/2006/relationships/hyperlink" Target="https://my.zakupivli.pro/remote/dispatcher/state_contracting_view/22198681" TargetMode="External"/><Relationship Id="rId47" Type="http://schemas.openxmlformats.org/officeDocument/2006/relationships/hyperlink" Target="https://my.zakupivli.pro/remote/dispatcher/state_purchase_view/60660277" TargetMode="External"/><Relationship Id="rId112" Type="http://schemas.openxmlformats.org/officeDocument/2006/relationships/hyperlink" Target="https://my.zakupivli.pro/remote/dispatcher/state_contracting_view/25451208" TargetMode="External"/><Relationship Id="rId557" Type="http://schemas.openxmlformats.org/officeDocument/2006/relationships/hyperlink" Target="https://my.zakupivli.pro/remote/dispatcher/state_purchase_view/29824597" TargetMode="External"/><Relationship Id="rId196" Type="http://schemas.openxmlformats.org/officeDocument/2006/relationships/hyperlink" Target="https://my.zakupivli.pro/remote/dispatcher/state_contracting_view/19867261" TargetMode="External"/><Relationship Id="rId417" Type="http://schemas.openxmlformats.org/officeDocument/2006/relationships/hyperlink" Target="https://my.zakupivli.pro/remote/dispatcher/state_purchase_view/37244188" TargetMode="External"/><Relationship Id="rId624" Type="http://schemas.openxmlformats.org/officeDocument/2006/relationships/hyperlink" Target="https://my.zakupivli.pro/remote/dispatcher/state_contracting_view/10338490" TargetMode="External"/><Relationship Id="rId263" Type="http://schemas.openxmlformats.org/officeDocument/2006/relationships/hyperlink" Target="https://my.zakupivli.pro/remote/dispatcher/state_purchase_view/41568734" TargetMode="External"/><Relationship Id="rId470" Type="http://schemas.openxmlformats.org/officeDocument/2006/relationships/hyperlink" Target="https://my.zakupivli.pro/remote/dispatcher/state_contracting_view/13943001" TargetMode="External"/><Relationship Id="rId58" Type="http://schemas.openxmlformats.org/officeDocument/2006/relationships/hyperlink" Target="https://my.zakupivli.pro/remote/dispatcher/state_contracting_view/25218978" TargetMode="External"/><Relationship Id="rId123" Type="http://schemas.openxmlformats.org/officeDocument/2006/relationships/hyperlink" Target="https://my.zakupivli.pro/remote/dispatcher/state_purchase_view/61213965" TargetMode="External"/><Relationship Id="rId330" Type="http://schemas.openxmlformats.org/officeDocument/2006/relationships/hyperlink" Target="https://my.zakupivli.pro/remote/dispatcher/state_contracting_view/15949707" TargetMode="External"/><Relationship Id="rId568" Type="http://schemas.openxmlformats.org/officeDocument/2006/relationships/hyperlink" Target="https://my.zakupivli.pro/remote/dispatcher/state_contracting_view/11739537" TargetMode="External"/><Relationship Id="rId428" Type="http://schemas.openxmlformats.org/officeDocument/2006/relationships/hyperlink" Target="https://my.zakupivli.pro/remote/dispatcher/state_contracting_view/14591802" TargetMode="External"/><Relationship Id="rId635" Type="http://schemas.openxmlformats.org/officeDocument/2006/relationships/hyperlink" Target="https://my.zakupivli.pro/remote/dispatcher/state_purchase_view/28546182" TargetMode="External"/><Relationship Id="rId274" Type="http://schemas.openxmlformats.org/officeDocument/2006/relationships/hyperlink" Target="https://my.zakupivli.pro/remote/dispatcher/state_contracting_view/17032289" TargetMode="External"/><Relationship Id="rId481" Type="http://schemas.openxmlformats.org/officeDocument/2006/relationships/hyperlink" Target="https://my.zakupivli.pro/remote/dispatcher/state_purchase_view/34574944" TargetMode="External"/><Relationship Id="rId702" Type="http://schemas.openxmlformats.org/officeDocument/2006/relationships/hyperlink" Target="https://my.zakupivli.pro/remote/dispatcher/state_contracting_view/6979707" TargetMode="External"/><Relationship Id="rId69" Type="http://schemas.openxmlformats.org/officeDocument/2006/relationships/hyperlink" Target="https://my.zakupivli.pro/remote/dispatcher/state_purchase_view/61213751" TargetMode="External"/><Relationship Id="rId134" Type="http://schemas.openxmlformats.org/officeDocument/2006/relationships/hyperlink" Target="https://my.zakupivli.pro/remote/dispatcher/state_contracting_view/25895497" TargetMode="External"/><Relationship Id="rId579" Type="http://schemas.openxmlformats.org/officeDocument/2006/relationships/hyperlink" Target="https://my.zakupivli.pro/remote/dispatcher/state_purchase_view/31323252" TargetMode="External"/><Relationship Id="rId341" Type="http://schemas.openxmlformats.org/officeDocument/2006/relationships/hyperlink" Target="https://my.zakupivli.pro/remote/dispatcher/state_purchase_view/40090066" TargetMode="External"/><Relationship Id="rId439" Type="http://schemas.openxmlformats.org/officeDocument/2006/relationships/hyperlink" Target="https://my.zakupivli.pro/remote/dispatcher/state_purchase_view/38484654" TargetMode="External"/><Relationship Id="rId646" Type="http://schemas.openxmlformats.org/officeDocument/2006/relationships/hyperlink" Target="https://my.zakupivli.pro/remote/dispatcher/state_contracting_view/9822132" TargetMode="External"/><Relationship Id="rId201" Type="http://schemas.openxmlformats.org/officeDocument/2006/relationships/hyperlink" Target="https://my.zakupivli.pro/remote/dispatcher/state_purchase_view/48261352" TargetMode="External"/><Relationship Id="rId285" Type="http://schemas.openxmlformats.org/officeDocument/2006/relationships/hyperlink" Target="https://my.zakupivli.pro/remote/dispatcher/state_purchase_view/43219345" TargetMode="External"/><Relationship Id="rId506" Type="http://schemas.openxmlformats.org/officeDocument/2006/relationships/hyperlink" Target="https://my.zakupivli.pro/remote/dispatcher/state_contracting_view/13914203" TargetMode="External"/><Relationship Id="rId492" Type="http://schemas.openxmlformats.org/officeDocument/2006/relationships/hyperlink" Target="https://my.zakupivli.pro/remote/dispatcher/state_contracting_view/14521860" TargetMode="External"/><Relationship Id="rId713" Type="http://schemas.openxmlformats.org/officeDocument/2006/relationships/hyperlink" Target="https://my.zakupivli.pro/remote/dispatcher/state_purchase_view/19295440" TargetMode="External"/><Relationship Id="rId145" Type="http://schemas.openxmlformats.org/officeDocument/2006/relationships/hyperlink" Target="https://my.zakupivli.pro/remote/dispatcher/state_purchase_view/61131505" TargetMode="External"/><Relationship Id="rId352" Type="http://schemas.openxmlformats.org/officeDocument/2006/relationships/hyperlink" Target="https://my.zakupivli.pro/remote/dispatcher/state_contracting_view/16817915" TargetMode="External"/><Relationship Id="rId212" Type="http://schemas.openxmlformats.org/officeDocument/2006/relationships/hyperlink" Target="https://my.zakupivli.pro/remote/dispatcher/state_contracting_view/21629586" TargetMode="External"/><Relationship Id="rId657" Type="http://schemas.openxmlformats.org/officeDocument/2006/relationships/hyperlink" Target="https://my.zakupivli.pro/remote/dispatcher/state_purchase_view/25773519" TargetMode="External"/><Relationship Id="rId296" Type="http://schemas.openxmlformats.org/officeDocument/2006/relationships/hyperlink" Target="https://my.zakupivli.pro/remote/dispatcher/state_contracting_view/16819504" TargetMode="External"/><Relationship Id="rId517" Type="http://schemas.openxmlformats.org/officeDocument/2006/relationships/hyperlink" Target="https://my.zakupivli.pro/remote/dispatcher/state_purchase_view/38610396" TargetMode="External"/><Relationship Id="rId724" Type="http://schemas.openxmlformats.org/officeDocument/2006/relationships/hyperlink" Target="https://my.zakupivli.pro/remote/dispatcher/state_contracting_view/6634444" TargetMode="External"/><Relationship Id="rId60" Type="http://schemas.openxmlformats.org/officeDocument/2006/relationships/hyperlink" Target="https://my.zakupivli.pro/remote/dispatcher/state_contracting_view/22855832" TargetMode="External"/><Relationship Id="rId156" Type="http://schemas.openxmlformats.org/officeDocument/2006/relationships/hyperlink" Target="https://my.zakupivli.pro/remote/dispatcher/state_contracting_view/21181607" TargetMode="External"/><Relationship Id="rId363" Type="http://schemas.openxmlformats.org/officeDocument/2006/relationships/hyperlink" Target="https://my.zakupivli.pro/remote/dispatcher/state_purchase_view/41569877" TargetMode="External"/><Relationship Id="rId570" Type="http://schemas.openxmlformats.org/officeDocument/2006/relationships/hyperlink" Target="https://my.zakupivli.pro/remote/dispatcher/state_contracting_view/8617721" TargetMode="External"/><Relationship Id="rId223" Type="http://schemas.openxmlformats.org/officeDocument/2006/relationships/hyperlink" Target="https://my.zakupivli.pro/remote/dispatcher/state_purchase_view/51765343" TargetMode="External"/><Relationship Id="rId430" Type="http://schemas.openxmlformats.org/officeDocument/2006/relationships/hyperlink" Target="https://my.zakupivli.pro/remote/dispatcher/state_contracting_view/14586412" TargetMode="External"/><Relationship Id="rId668" Type="http://schemas.openxmlformats.org/officeDocument/2006/relationships/hyperlink" Target="https://my.zakupivli.pro/remote/dispatcher/state_contracting_view/6111071" TargetMode="External"/><Relationship Id="rId18" Type="http://schemas.openxmlformats.org/officeDocument/2006/relationships/hyperlink" Target="https://my.zakupivli.pro/remote/dispatcher/state_contracting_view/26627432" TargetMode="External"/><Relationship Id="rId528" Type="http://schemas.openxmlformats.org/officeDocument/2006/relationships/hyperlink" Target="https://my.zakupivli.pro/remote/dispatcher/state_contracting_view/13045127" TargetMode="External"/><Relationship Id="rId167" Type="http://schemas.openxmlformats.org/officeDocument/2006/relationships/hyperlink" Target="https://my.zakupivli.pro/remote/dispatcher/state_purchase_view/53241225" TargetMode="External"/><Relationship Id="rId374" Type="http://schemas.openxmlformats.org/officeDocument/2006/relationships/hyperlink" Target="https://my.zakupivli.pro/remote/dispatcher/state_contracting_view/17096592" TargetMode="External"/><Relationship Id="rId581" Type="http://schemas.openxmlformats.org/officeDocument/2006/relationships/hyperlink" Target="https://my.zakupivli.pro/remote/dispatcher/state_purchase_view/23131777" TargetMode="External"/><Relationship Id="rId71" Type="http://schemas.openxmlformats.org/officeDocument/2006/relationships/hyperlink" Target="https://my.zakupivli.pro/remote/dispatcher/state_purchase_view/62182849" TargetMode="External"/><Relationship Id="rId234" Type="http://schemas.openxmlformats.org/officeDocument/2006/relationships/hyperlink" Target="https://my.zakupivli.pro/remote/dispatcher/state_contracting_view/18876501" TargetMode="External"/><Relationship Id="rId679" Type="http://schemas.openxmlformats.org/officeDocument/2006/relationships/hyperlink" Target="https://my.zakupivli.pro/remote/dispatcher/state_purchase_view/20707443" TargetMode="External"/><Relationship Id="rId2" Type="http://schemas.openxmlformats.org/officeDocument/2006/relationships/hyperlink" Target="https://my.zakupivli.pro/remote/dispatcher/state_contracting_view/26626651" TargetMode="External"/><Relationship Id="rId29" Type="http://schemas.openxmlformats.org/officeDocument/2006/relationships/hyperlink" Target="https://my.zakupivli.pro/remote/dispatcher/state_purchase_view/63720152" TargetMode="External"/><Relationship Id="rId441" Type="http://schemas.openxmlformats.org/officeDocument/2006/relationships/hyperlink" Target="https://my.zakupivli.pro/remote/dispatcher/state_purchase_view/38613911" TargetMode="External"/><Relationship Id="rId539" Type="http://schemas.openxmlformats.org/officeDocument/2006/relationships/hyperlink" Target="https://my.zakupivli.pro/remote/dispatcher/state_purchase_view/25817206" TargetMode="External"/><Relationship Id="rId178" Type="http://schemas.openxmlformats.org/officeDocument/2006/relationships/hyperlink" Target="https://my.zakupivli.pro/remote/dispatcher/state_contracting_view/21116983" TargetMode="External"/><Relationship Id="rId301" Type="http://schemas.openxmlformats.org/officeDocument/2006/relationships/hyperlink" Target="https://my.zakupivli.pro/remote/dispatcher/state_purchase_view/44120005" TargetMode="External"/><Relationship Id="rId82" Type="http://schemas.openxmlformats.org/officeDocument/2006/relationships/hyperlink" Target="https://my.zakupivli.pro/remote/dispatcher/state_contracting_view/24578871" TargetMode="External"/><Relationship Id="rId203" Type="http://schemas.openxmlformats.org/officeDocument/2006/relationships/hyperlink" Target="https://my.zakupivli.pro/remote/dispatcher/state_purchase_view/54044629" TargetMode="External"/><Relationship Id="rId385" Type="http://schemas.openxmlformats.org/officeDocument/2006/relationships/hyperlink" Target="https://my.zakupivli.pro/remote/dispatcher/state_purchase_view/43669767" TargetMode="External"/><Relationship Id="rId592" Type="http://schemas.openxmlformats.org/officeDocument/2006/relationships/hyperlink" Target="https://my.zakupivli.pro/remote/dispatcher/state_contracting_view/7278220" TargetMode="External"/><Relationship Id="rId606" Type="http://schemas.openxmlformats.org/officeDocument/2006/relationships/hyperlink" Target="https://my.zakupivli.pro/remote/dispatcher/state_contracting_view/11740164" TargetMode="External"/><Relationship Id="rId648" Type="http://schemas.openxmlformats.org/officeDocument/2006/relationships/hyperlink" Target="https://my.zakupivli.pro/remote/dispatcher/state_contracting_view/9127016" TargetMode="External"/><Relationship Id="rId245" Type="http://schemas.openxmlformats.org/officeDocument/2006/relationships/hyperlink" Target="https://my.zakupivli.pro/remote/dispatcher/state_purchase_view/50964760" TargetMode="External"/><Relationship Id="rId287" Type="http://schemas.openxmlformats.org/officeDocument/2006/relationships/hyperlink" Target="https://my.zakupivli.pro/remote/dispatcher/state_purchase_view/43215962" TargetMode="External"/><Relationship Id="rId410" Type="http://schemas.openxmlformats.org/officeDocument/2006/relationships/hyperlink" Target="https://my.zakupivli.pro/remote/dispatcher/state_contracting_view/17766255" TargetMode="External"/><Relationship Id="rId452" Type="http://schemas.openxmlformats.org/officeDocument/2006/relationships/hyperlink" Target="https://my.zakupivli.pro/remote/dispatcher/state_contracting_view/13354879" TargetMode="External"/><Relationship Id="rId494" Type="http://schemas.openxmlformats.org/officeDocument/2006/relationships/hyperlink" Target="https://my.zakupivli.pro/remote/dispatcher/state_contracting_view/13413632" TargetMode="External"/><Relationship Id="rId508" Type="http://schemas.openxmlformats.org/officeDocument/2006/relationships/hyperlink" Target="https://my.zakupivli.pro/remote/dispatcher/state_contracting_view/13413657" TargetMode="External"/><Relationship Id="rId715" Type="http://schemas.openxmlformats.org/officeDocument/2006/relationships/hyperlink" Target="https://my.zakupivli.pro/remote/dispatcher/state_purchase_view/19488403" TargetMode="External"/><Relationship Id="rId105" Type="http://schemas.openxmlformats.org/officeDocument/2006/relationships/hyperlink" Target="https://my.zakupivli.pro/remote/dispatcher/state_purchase_view/60517782" TargetMode="External"/><Relationship Id="rId147" Type="http://schemas.openxmlformats.org/officeDocument/2006/relationships/hyperlink" Target="https://my.zakupivli.pro/remote/dispatcher/state_purchase_view/61211211" TargetMode="External"/><Relationship Id="rId312" Type="http://schemas.openxmlformats.org/officeDocument/2006/relationships/hyperlink" Target="https://my.zakupivli.pro/remote/dispatcher/state_contracting_view/15948507" TargetMode="External"/><Relationship Id="rId354" Type="http://schemas.openxmlformats.org/officeDocument/2006/relationships/hyperlink" Target="https://my.zakupivli.pro/remote/dispatcher/state_contracting_view/17464186" TargetMode="External"/><Relationship Id="rId51" Type="http://schemas.openxmlformats.org/officeDocument/2006/relationships/hyperlink" Target="https://my.zakupivli.pro/remote/dispatcher/state_purchase_view/59526118" TargetMode="External"/><Relationship Id="rId93" Type="http://schemas.openxmlformats.org/officeDocument/2006/relationships/hyperlink" Target="https://my.zakupivli.pro/remote/dispatcher/state_purchase_view/61996922" TargetMode="External"/><Relationship Id="rId189" Type="http://schemas.openxmlformats.org/officeDocument/2006/relationships/hyperlink" Target="https://my.zakupivli.pro/remote/dispatcher/state_purchase_view/52517891" TargetMode="External"/><Relationship Id="rId396" Type="http://schemas.openxmlformats.org/officeDocument/2006/relationships/hyperlink" Target="https://my.zakupivli.pro/remote/dispatcher/state_contracting_view/18220426" TargetMode="External"/><Relationship Id="rId561" Type="http://schemas.openxmlformats.org/officeDocument/2006/relationships/hyperlink" Target="https://my.zakupivli.pro/remote/dispatcher/state_purchase_view/26010802" TargetMode="External"/><Relationship Id="rId617" Type="http://schemas.openxmlformats.org/officeDocument/2006/relationships/hyperlink" Target="https://my.zakupivli.pro/remote/dispatcher/state_purchase_view/30525218" TargetMode="External"/><Relationship Id="rId659" Type="http://schemas.openxmlformats.org/officeDocument/2006/relationships/hyperlink" Target="https://my.zakupivli.pro/remote/dispatcher/state_purchase_view/25774029" TargetMode="External"/><Relationship Id="rId214" Type="http://schemas.openxmlformats.org/officeDocument/2006/relationships/hyperlink" Target="https://my.zakupivli.pro/remote/dispatcher/state_contracting_view/19193272" TargetMode="External"/><Relationship Id="rId256" Type="http://schemas.openxmlformats.org/officeDocument/2006/relationships/hyperlink" Target="https://my.zakupivli.pro/remote/dispatcher/state_contracting_view/20785794" TargetMode="External"/><Relationship Id="rId298" Type="http://schemas.openxmlformats.org/officeDocument/2006/relationships/hyperlink" Target="https://my.zakupivli.pro/remote/dispatcher/state_contracting_view/15241176" TargetMode="External"/><Relationship Id="rId421" Type="http://schemas.openxmlformats.org/officeDocument/2006/relationships/hyperlink" Target="https://my.zakupivli.pro/remote/dispatcher/state_purchase_view/34307359" TargetMode="External"/><Relationship Id="rId463" Type="http://schemas.openxmlformats.org/officeDocument/2006/relationships/hyperlink" Target="https://my.zakupivli.pro/remote/dispatcher/state_purchase_view/34654231" TargetMode="External"/><Relationship Id="rId519" Type="http://schemas.openxmlformats.org/officeDocument/2006/relationships/hyperlink" Target="https://my.zakupivli.pro/remote/dispatcher/state_purchase_view/32708516" TargetMode="External"/><Relationship Id="rId670" Type="http://schemas.openxmlformats.org/officeDocument/2006/relationships/hyperlink" Target="https://my.zakupivli.pro/remote/dispatcher/state_contracting_view/6718998" TargetMode="External"/><Relationship Id="rId116" Type="http://schemas.openxmlformats.org/officeDocument/2006/relationships/hyperlink" Target="https://my.zakupivli.pro/remote/dispatcher/state_contracting_view/25076667" TargetMode="External"/><Relationship Id="rId158" Type="http://schemas.openxmlformats.org/officeDocument/2006/relationships/hyperlink" Target="https://my.zakupivli.pro/remote/dispatcher/state_contracting_view/18865361" TargetMode="External"/><Relationship Id="rId323" Type="http://schemas.openxmlformats.org/officeDocument/2006/relationships/hyperlink" Target="https://my.zakupivli.pro/remote/dispatcher/state_purchase_view/45740494" TargetMode="External"/><Relationship Id="rId530" Type="http://schemas.openxmlformats.org/officeDocument/2006/relationships/hyperlink" Target="https://my.zakupivli.pro/remote/dispatcher/state_contracting_view/10524716" TargetMode="External"/><Relationship Id="rId20" Type="http://schemas.openxmlformats.org/officeDocument/2006/relationships/hyperlink" Target="https://my.zakupivli.pro/remote/dispatcher/state_contracting_view/26625737" TargetMode="External"/><Relationship Id="rId62" Type="http://schemas.openxmlformats.org/officeDocument/2006/relationships/hyperlink" Target="https://my.zakupivli.pro/remote/dispatcher/state_contracting_view/23555725" TargetMode="External"/><Relationship Id="rId365" Type="http://schemas.openxmlformats.org/officeDocument/2006/relationships/hyperlink" Target="https://my.zakupivli.pro/remote/dispatcher/state_purchase_view/40095638" TargetMode="External"/><Relationship Id="rId572" Type="http://schemas.openxmlformats.org/officeDocument/2006/relationships/hyperlink" Target="https://my.zakupivli.pro/remote/dispatcher/state_contracting_view/7317491" TargetMode="External"/><Relationship Id="rId628" Type="http://schemas.openxmlformats.org/officeDocument/2006/relationships/hyperlink" Target="https://my.zakupivli.pro/remote/dispatcher/state_contracting_view/9649637" TargetMode="External"/><Relationship Id="rId225" Type="http://schemas.openxmlformats.org/officeDocument/2006/relationships/hyperlink" Target="https://my.zakupivli.pro/remote/dispatcher/state_purchase_view/51764553" TargetMode="External"/><Relationship Id="rId267" Type="http://schemas.openxmlformats.org/officeDocument/2006/relationships/hyperlink" Target="https://my.zakupivli.pro/remote/dispatcher/state_purchase_view/44154729" TargetMode="External"/><Relationship Id="rId432" Type="http://schemas.openxmlformats.org/officeDocument/2006/relationships/hyperlink" Target="https://my.zakupivli.pro/remote/dispatcher/state_contracting_view/13872721" TargetMode="External"/><Relationship Id="rId474" Type="http://schemas.openxmlformats.org/officeDocument/2006/relationships/hyperlink" Target="https://my.zakupivli.pro/remote/dispatcher/state_contracting_view/13578192" TargetMode="External"/><Relationship Id="rId127" Type="http://schemas.openxmlformats.org/officeDocument/2006/relationships/hyperlink" Target="https://my.zakupivli.pro/remote/dispatcher/state_purchase_view/56433683" TargetMode="External"/><Relationship Id="rId681" Type="http://schemas.openxmlformats.org/officeDocument/2006/relationships/hyperlink" Target="https://my.zakupivli.pro/remote/dispatcher/state_purchase_view/19569207" TargetMode="External"/><Relationship Id="rId31" Type="http://schemas.openxmlformats.org/officeDocument/2006/relationships/hyperlink" Target="https://my.zakupivli.pro/remote/dispatcher/state_purchase_view/58872083" TargetMode="External"/><Relationship Id="rId73" Type="http://schemas.openxmlformats.org/officeDocument/2006/relationships/hyperlink" Target="https://my.zakupivli.pro/remote/dispatcher/state_purchase_view/56435989" TargetMode="External"/><Relationship Id="rId169" Type="http://schemas.openxmlformats.org/officeDocument/2006/relationships/hyperlink" Target="https://my.zakupivli.pro/remote/dispatcher/state_purchase_view/48266550" TargetMode="External"/><Relationship Id="rId334" Type="http://schemas.openxmlformats.org/officeDocument/2006/relationships/hyperlink" Target="https://my.zakupivli.pro/remote/dispatcher/state_contracting_view/15241520" TargetMode="External"/><Relationship Id="rId376" Type="http://schemas.openxmlformats.org/officeDocument/2006/relationships/hyperlink" Target="https://my.zakupivli.pro/remote/dispatcher/state_contracting_view/17716914" TargetMode="External"/><Relationship Id="rId541" Type="http://schemas.openxmlformats.org/officeDocument/2006/relationships/hyperlink" Target="https://my.zakupivli.pro/remote/dispatcher/state_purchase_view/23212298" TargetMode="External"/><Relationship Id="rId583" Type="http://schemas.openxmlformats.org/officeDocument/2006/relationships/hyperlink" Target="https://my.zakupivli.pro/remote/dispatcher/state_purchase_view/25827343" TargetMode="External"/><Relationship Id="rId639" Type="http://schemas.openxmlformats.org/officeDocument/2006/relationships/hyperlink" Target="https://my.zakupivli.pro/remote/dispatcher/state_purchase_view/28540739" TargetMode="External"/><Relationship Id="rId4" Type="http://schemas.openxmlformats.org/officeDocument/2006/relationships/hyperlink" Target="https://my.zakupivli.pro/remote/dispatcher/state_contracting_view/26645627" TargetMode="External"/><Relationship Id="rId180" Type="http://schemas.openxmlformats.org/officeDocument/2006/relationships/hyperlink" Target="https://my.zakupivli.pro/remote/dispatcher/state_contracting_view/19692765" TargetMode="External"/><Relationship Id="rId236" Type="http://schemas.openxmlformats.org/officeDocument/2006/relationships/hyperlink" Target="https://my.zakupivli.pro/remote/dispatcher/state_contracting_view/22199107" TargetMode="External"/><Relationship Id="rId278" Type="http://schemas.openxmlformats.org/officeDocument/2006/relationships/hyperlink" Target="https://my.zakupivli.pro/remote/dispatcher/state_contracting_view/17898725" TargetMode="External"/><Relationship Id="rId401" Type="http://schemas.openxmlformats.org/officeDocument/2006/relationships/hyperlink" Target="https://my.zakupivli.pro/remote/dispatcher/state_purchase_view/45690191" TargetMode="External"/><Relationship Id="rId443" Type="http://schemas.openxmlformats.org/officeDocument/2006/relationships/hyperlink" Target="https://my.zakupivli.pro/remote/dispatcher/state_purchase_view/34313033" TargetMode="External"/><Relationship Id="rId650" Type="http://schemas.openxmlformats.org/officeDocument/2006/relationships/hyperlink" Target="https://my.zakupivli.pro/remote/dispatcher/state_contracting_view/9127119" TargetMode="External"/><Relationship Id="rId303" Type="http://schemas.openxmlformats.org/officeDocument/2006/relationships/hyperlink" Target="https://my.zakupivli.pro/remote/dispatcher/state_purchase_view/45514877" TargetMode="External"/><Relationship Id="rId485" Type="http://schemas.openxmlformats.org/officeDocument/2006/relationships/hyperlink" Target="https://my.zakupivli.pro/remote/dispatcher/state_purchase_view/36326015" TargetMode="External"/><Relationship Id="rId692" Type="http://schemas.openxmlformats.org/officeDocument/2006/relationships/hyperlink" Target="https://my.zakupivli.pro/remote/dispatcher/state_contracting_view/5569707" TargetMode="External"/><Relationship Id="rId706" Type="http://schemas.openxmlformats.org/officeDocument/2006/relationships/hyperlink" Target="https://my.zakupivli.pro/remote/dispatcher/state_contracting_view/5586227" TargetMode="External"/><Relationship Id="rId42" Type="http://schemas.openxmlformats.org/officeDocument/2006/relationships/hyperlink" Target="https://my.zakupivli.pro/remote/dispatcher/state_contracting_view/26134507" TargetMode="External"/><Relationship Id="rId84" Type="http://schemas.openxmlformats.org/officeDocument/2006/relationships/hyperlink" Target="https://my.zakupivli.pro/remote/dispatcher/state_contracting_view/24883863" TargetMode="External"/><Relationship Id="rId138" Type="http://schemas.openxmlformats.org/officeDocument/2006/relationships/hyperlink" Target="https://my.zakupivli.pro/remote/dispatcher/state_contracting_view/26133550" TargetMode="External"/><Relationship Id="rId345" Type="http://schemas.openxmlformats.org/officeDocument/2006/relationships/hyperlink" Target="https://my.zakupivli.pro/remote/dispatcher/state_purchase_view/45942336" TargetMode="External"/><Relationship Id="rId387" Type="http://schemas.openxmlformats.org/officeDocument/2006/relationships/hyperlink" Target="https://my.zakupivli.pro/remote/dispatcher/state_purchase_view/43379887" TargetMode="External"/><Relationship Id="rId510" Type="http://schemas.openxmlformats.org/officeDocument/2006/relationships/hyperlink" Target="https://my.zakupivli.pro/remote/dispatcher/state_contracting_view/13483269" TargetMode="External"/><Relationship Id="rId552" Type="http://schemas.openxmlformats.org/officeDocument/2006/relationships/hyperlink" Target="https://my.zakupivli.pro/remote/dispatcher/state_contracting_view/9115233" TargetMode="External"/><Relationship Id="rId594" Type="http://schemas.openxmlformats.org/officeDocument/2006/relationships/hyperlink" Target="https://my.zakupivli.pro/remote/dispatcher/state_contracting_view/9820176" TargetMode="External"/><Relationship Id="rId608" Type="http://schemas.openxmlformats.org/officeDocument/2006/relationships/hyperlink" Target="https://my.zakupivli.pro/remote/dispatcher/state_contracting_view/12101318" TargetMode="External"/><Relationship Id="rId191" Type="http://schemas.openxmlformats.org/officeDocument/2006/relationships/hyperlink" Target="https://my.zakupivli.pro/remote/dispatcher/state_purchase_view/52518803" TargetMode="External"/><Relationship Id="rId205" Type="http://schemas.openxmlformats.org/officeDocument/2006/relationships/hyperlink" Target="https://my.zakupivli.pro/remote/dispatcher/state_purchase_view/51463141" TargetMode="External"/><Relationship Id="rId247" Type="http://schemas.openxmlformats.org/officeDocument/2006/relationships/hyperlink" Target="https://my.zakupivli.pro/remote/dispatcher/state_purchase_view/48257181" TargetMode="External"/><Relationship Id="rId412" Type="http://schemas.openxmlformats.org/officeDocument/2006/relationships/hyperlink" Target="https://my.zakupivli.pro/remote/dispatcher/state_contracting_view/14582537" TargetMode="External"/><Relationship Id="rId107" Type="http://schemas.openxmlformats.org/officeDocument/2006/relationships/hyperlink" Target="https://my.zakupivli.pro/remote/dispatcher/state_purchase_view/62670500" TargetMode="External"/><Relationship Id="rId289" Type="http://schemas.openxmlformats.org/officeDocument/2006/relationships/hyperlink" Target="https://my.zakupivli.pro/remote/dispatcher/state_purchase_view/43145258" TargetMode="External"/><Relationship Id="rId454" Type="http://schemas.openxmlformats.org/officeDocument/2006/relationships/hyperlink" Target="https://my.zakupivli.pro/remote/dispatcher/state_contracting_view/13942804" TargetMode="External"/><Relationship Id="rId496" Type="http://schemas.openxmlformats.org/officeDocument/2006/relationships/hyperlink" Target="https://my.zakupivli.pro/remote/dispatcher/state_contracting_view/14318003" TargetMode="External"/><Relationship Id="rId661" Type="http://schemas.openxmlformats.org/officeDocument/2006/relationships/hyperlink" Target="https://my.zakupivli.pro/remote/dispatcher/state_purchase_view/25731004" TargetMode="External"/><Relationship Id="rId717" Type="http://schemas.openxmlformats.org/officeDocument/2006/relationships/hyperlink" Target="https://my.zakupivli.pro/remote/dispatcher/state_purchase_view/19352446" TargetMode="External"/><Relationship Id="rId11" Type="http://schemas.openxmlformats.org/officeDocument/2006/relationships/hyperlink" Target="https://my.zakupivli.pro/remote/dispatcher/state_purchase_view/65242539" TargetMode="External"/><Relationship Id="rId53" Type="http://schemas.openxmlformats.org/officeDocument/2006/relationships/hyperlink" Target="https://my.zakupivli.pro/remote/dispatcher/state_purchase_view/60516943" TargetMode="External"/><Relationship Id="rId149" Type="http://schemas.openxmlformats.org/officeDocument/2006/relationships/hyperlink" Target="https://my.zakupivli.pro/remote/dispatcher/state_purchase_view/62166692" TargetMode="External"/><Relationship Id="rId314" Type="http://schemas.openxmlformats.org/officeDocument/2006/relationships/hyperlink" Target="https://my.zakupivli.pro/remote/dispatcher/state_contracting_view/15949595" TargetMode="External"/><Relationship Id="rId356" Type="http://schemas.openxmlformats.org/officeDocument/2006/relationships/hyperlink" Target="https://my.zakupivli.pro/remote/dispatcher/state_contracting_view/16686038" TargetMode="External"/><Relationship Id="rId398" Type="http://schemas.openxmlformats.org/officeDocument/2006/relationships/hyperlink" Target="https://my.zakupivli.pro/remote/dispatcher/state_contracting_view/18044111" TargetMode="External"/><Relationship Id="rId521" Type="http://schemas.openxmlformats.org/officeDocument/2006/relationships/hyperlink" Target="https://my.zakupivli.pro/remote/dispatcher/state_purchase_view/35504177" TargetMode="External"/><Relationship Id="rId563" Type="http://schemas.openxmlformats.org/officeDocument/2006/relationships/hyperlink" Target="https://my.zakupivli.pro/remote/dispatcher/state_purchase_view/23152342" TargetMode="External"/><Relationship Id="rId619" Type="http://schemas.openxmlformats.org/officeDocument/2006/relationships/hyperlink" Target="https://my.zakupivli.pro/remote/dispatcher/state_purchase_view/30776170" TargetMode="External"/><Relationship Id="rId95" Type="http://schemas.openxmlformats.org/officeDocument/2006/relationships/hyperlink" Target="https://my.zakupivli.pro/remote/dispatcher/state_purchase_view/63620272" TargetMode="External"/><Relationship Id="rId160" Type="http://schemas.openxmlformats.org/officeDocument/2006/relationships/hyperlink" Target="https://my.zakupivli.pro/remote/dispatcher/state_contracting_view/20788288" TargetMode="External"/><Relationship Id="rId216" Type="http://schemas.openxmlformats.org/officeDocument/2006/relationships/hyperlink" Target="https://my.zakupivli.pro/remote/dispatcher/state_contracting_view/19692505" TargetMode="External"/><Relationship Id="rId423" Type="http://schemas.openxmlformats.org/officeDocument/2006/relationships/hyperlink" Target="https://my.zakupivli.pro/remote/dispatcher/state_purchase_view/36456113" TargetMode="External"/><Relationship Id="rId258" Type="http://schemas.openxmlformats.org/officeDocument/2006/relationships/hyperlink" Target="https://my.zakupivli.pro/remote/dispatcher/state_contracting_view/21116784" TargetMode="External"/><Relationship Id="rId465" Type="http://schemas.openxmlformats.org/officeDocument/2006/relationships/hyperlink" Target="https://my.zakupivli.pro/remote/dispatcher/state_purchase_view/37958943" TargetMode="External"/><Relationship Id="rId630" Type="http://schemas.openxmlformats.org/officeDocument/2006/relationships/hyperlink" Target="https://my.zakupivli.pro/remote/dispatcher/state_contracting_view/10146077" TargetMode="External"/><Relationship Id="rId672" Type="http://schemas.openxmlformats.org/officeDocument/2006/relationships/hyperlink" Target="https://my.zakupivli.pro/remote/dispatcher/state_contracting_view/5623710" TargetMode="External"/><Relationship Id="rId22" Type="http://schemas.openxmlformats.org/officeDocument/2006/relationships/hyperlink" Target="https://my.zakupivli.pro/remote/dispatcher/state_contracting_view/26626897" TargetMode="External"/><Relationship Id="rId64" Type="http://schemas.openxmlformats.org/officeDocument/2006/relationships/hyperlink" Target="https://my.zakupivli.pro/remote/dispatcher/state_contracting_view/23759754" TargetMode="External"/><Relationship Id="rId118" Type="http://schemas.openxmlformats.org/officeDocument/2006/relationships/hyperlink" Target="https://my.zakupivli.pro/remote/dispatcher/state_contracting_view/22807951" TargetMode="External"/><Relationship Id="rId325" Type="http://schemas.openxmlformats.org/officeDocument/2006/relationships/hyperlink" Target="https://my.zakupivli.pro/remote/dispatcher/state_purchase_view/40669993" TargetMode="External"/><Relationship Id="rId367" Type="http://schemas.openxmlformats.org/officeDocument/2006/relationships/hyperlink" Target="https://my.zakupivli.pro/remote/dispatcher/state_purchase_view/40094137" TargetMode="External"/><Relationship Id="rId532" Type="http://schemas.openxmlformats.org/officeDocument/2006/relationships/hyperlink" Target="https://my.zakupivli.pro/remote/dispatcher/state_contracting_view/11488212" TargetMode="External"/><Relationship Id="rId574" Type="http://schemas.openxmlformats.org/officeDocument/2006/relationships/hyperlink" Target="https://my.zakupivli.pro/remote/dispatcher/state_contracting_view/8530507" TargetMode="External"/><Relationship Id="rId171" Type="http://schemas.openxmlformats.org/officeDocument/2006/relationships/hyperlink" Target="https://my.zakupivli.pro/remote/dispatcher/state_purchase_view/50963200" TargetMode="External"/><Relationship Id="rId227" Type="http://schemas.openxmlformats.org/officeDocument/2006/relationships/hyperlink" Target="https://my.zakupivli.pro/remote/dispatcher/state_purchase_view/51079239" TargetMode="External"/><Relationship Id="rId269" Type="http://schemas.openxmlformats.org/officeDocument/2006/relationships/hyperlink" Target="https://my.zakupivli.pro/remote/dispatcher/state_purchase_view/45584712" TargetMode="External"/><Relationship Id="rId434" Type="http://schemas.openxmlformats.org/officeDocument/2006/relationships/hyperlink" Target="https://my.zakupivli.pro/remote/dispatcher/state_contracting_view/13915949" TargetMode="External"/><Relationship Id="rId476" Type="http://schemas.openxmlformats.org/officeDocument/2006/relationships/hyperlink" Target="https://my.zakupivli.pro/remote/dispatcher/state_contracting_view/12500126" TargetMode="External"/><Relationship Id="rId641" Type="http://schemas.openxmlformats.org/officeDocument/2006/relationships/hyperlink" Target="https://my.zakupivli.pro/remote/dispatcher/state_purchase_view/28547107" TargetMode="External"/><Relationship Id="rId683" Type="http://schemas.openxmlformats.org/officeDocument/2006/relationships/hyperlink" Target="https://my.zakupivli.pro/remote/dispatcher/state_purchase_view/20954211" TargetMode="External"/><Relationship Id="rId33" Type="http://schemas.openxmlformats.org/officeDocument/2006/relationships/hyperlink" Target="https://my.zakupivli.pro/remote/dispatcher/state_purchase_view/60062207" TargetMode="External"/><Relationship Id="rId129" Type="http://schemas.openxmlformats.org/officeDocument/2006/relationships/hyperlink" Target="https://my.zakupivli.pro/remote/dispatcher/state_purchase_view/64122448" TargetMode="External"/><Relationship Id="rId280" Type="http://schemas.openxmlformats.org/officeDocument/2006/relationships/hyperlink" Target="https://my.zakupivli.pro/remote/dispatcher/state_contracting_view/15949452" TargetMode="External"/><Relationship Id="rId336" Type="http://schemas.openxmlformats.org/officeDocument/2006/relationships/hyperlink" Target="https://my.zakupivli.pro/remote/dispatcher/state_contracting_view/16514213" TargetMode="External"/><Relationship Id="rId501" Type="http://schemas.openxmlformats.org/officeDocument/2006/relationships/hyperlink" Target="https://my.zakupivli.pro/remote/dispatcher/state_purchase_view/36205133" TargetMode="External"/><Relationship Id="rId543" Type="http://schemas.openxmlformats.org/officeDocument/2006/relationships/hyperlink" Target="https://my.zakupivli.pro/remote/dispatcher/state_purchase_view/26148964" TargetMode="External"/><Relationship Id="rId75" Type="http://schemas.openxmlformats.org/officeDocument/2006/relationships/hyperlink" Target="https://my.zakupivli.pro/remote/dispatcher/state_purchase_view/58624694" TargetMode="External"/><Relationship Id="rId140" Type="http://schemas.openxmlformats.org/officeDocument/2006/relationships/hyperlink" Target="https://my.zakupivli.pro/remote/dispatcher/state_contracting_view/22799826" TargetMode="External"/><Relationship Id="rId182" Type="http://schemas.openxmlformats.org/officeDocument/2006/relationships/hyperlink" Target="https://my.zakupivli.pro/remote/dispatcher/state_contracting_view/18864792" TargetMode="External"/><Relationship Id="rId378" Type="http://schemas.openxmlformats.org/officeDocument/2006/relationships/hyperlink" Target="https://my.zakupivli.pro/remote/dispatcher/state_contracting_view/17719433" TargetMode="External"/><Relationship Id="rId403" Type="http://schemas.openxmlformats.org/officeDocument/2006/relationships/hyperlink" Target="https://my.zakupivli.pro/remote/dispatcher/state_purchase_view/46006032" TargetMode="External"/><Relationship Id="rId585" Type="http://schemas.openxmlformats.org/officeDocument/2006/relationships/hyperlink" Target="https://my.zakupivli.pro/remote/dispatcher/state_purchase_view/28535200" TargetMode="External"/><Relationship Id="rId6" Type="http://schemas.openxmlformats.org/officeDocument/2006/relationships/hyperlink" Target="https://my.zakupivli.pro/remote/dispatcher/state_contracting_view/26777427" TargetMode="External"/><Relationship Id="rId238" Type="http://schemas.openxmlformats.org/officeDocument/2006/relationships/hyperlink" Target="https://my.zakupivli.pro/remote/dispatcher/state_contracting_view/18869600" TargetMode="External"/><Relationship Id="rId445" Type="http://schemas.openxmlformats.org/officeDocument/2006/relationships/hyperlink" Target="https://my.zakupivli.pro/remote/dispatcher/state_purchase_view/36325859" TargetMode="External"/><Relationship Id="rId487" Type="http://schemas.openxmlformats.org/officeDocument/2006/relationships/hyperlink" Target="https://my.zakupivli.pro/remote/dispatcher/state_purchase_view/38458050" TargetMode="External"/><Relationship Id="rId610" Type="http://schemas.openxmlformats.org/officeDocument/2006/relationships/hyperlink" Target="https://my.zakupivli.pro/remote/dispatcher/state_contracting_view/11034271" TargetMode="External"/><Relationship Id="rId652" Type="http://schemas.openxmlformats.org/officeDocument/2006/relationships/hyperlink" Target="https://my.zakupivli.pro/remote/dispatcher/state_contracting_view/9127241" TargetMode="External"/><Relationship Id="rId694" Type="http://schemas.openxmlformats.org/officeDocument/2006/relationships/hyperlink" Target="https://my.zakupivli.pro/remote/dispatcher/state_contracting_view/6708833" TargetMode="External"/><Relationship Id="rId708" Type="http://schemas.openxmlformats.org/officeDocument/2006/relationships/hyperlink" Target="https://my.zakupivli.pro/remote/dispatcher/state_contracting_view/5541789" TargetMode="External"/><Relationship Id="rId291" Type="http://schemas.openxmlformats.org/officeDocument/2006/relationships/hyperlink" Target="https://my.zakupivli.pro/remote/dispatcher/state_purchase_view/46009579" TargetMode="External"/><Relationship Id="rId305" Type="http://schemas.openxmlformats.org/officeDocument/2006/relationships/hyperlink" Target="https://my.zakupivli.pro/remote/dispatcher/state_purchase_view/45341354" TargetMode="External"/><Relationship Id="rId347" Type="http://schemas.openxmlformats.org/officeDocument/2006/relationships/hyperlink" Target="https://my.zakupivli.pro/remote/dispatcher/state_purchase_view/46004235" TargetMode="External"/><Relationship Id="rId512" Type="http://schemas.openxmlformats.org/officeDocument/2006/relationships/hyperlink" Target="https://my.zakupivli.pro/remote/dispatcher/state_contracting_view/14318060" TargetMode="External"/><Relationship Id="rId44" Type="http://schemas.openxmlformats.org/officeDocument/2006/relationships/hyperlink" Target="https://my.zakupivli.pro/remote/dispatcher/state_contracting_view/22806520" TargetMode="External"/><Relationship Id="rId86" Type="http://schemas.openxmlformats.org/officeDocument/2006/relationships/hyperlink" Target="https://my.zakupivli.pro/remote/dispatcher/state_contracting_view/26134135" TargetMode="External"/><Relationship Id="rId151" Type="http://schemas.openxmlformats.org/officeDocument/2006/relationships/hyperlink" Target="https://my.zakupivli.pro/remote/dispatcher/state_purchase_view/64708771" TargetMode="External"/><Relationship Id="rId389" Type="http://schemas.openxmlformats.org/officeDocument/2006/relationships/hyperlink" Target="https://my.zakupivli.pro/remote/dispatcher/state_purchase_view/44067588" TargetMode="External"/><Relationship Id="rId554" Type="http://schemas.openxmlformats.org/officeDocument/2006/relationships/hyperlink" Target="https://my.zakupivli.pro/remote/dispatcher/state_contracting_view/7283556" TargetMode="External"/><Relationship Id="rId596" Type="http://schemas.openxmlformats.org/officeDocument/2006/relationships/hyperlink" Target="https://my.zakupivli.pro/remote/dispatcher/state_contracting_view/7508638" TargetMode="External"/><Relationship Id="rId193" Type="http://schemas.openxmlformats.org/officeDocument/2006/relationships/hyperlink" Target="https://my.zakupivli.pro/remote/dispatcher/state_purchase_view/50900577" TargetMode="External"/><Relationship Id="rId207" Type="http://schemas.openxmlformats.org/officeDocument/2006/relationships/hyperlink" Target="https://my.zakupivli.pro/remote/dispatcher/state_purchase_view/53132993" TargetMode="External"/><Relationship Id="rId249" Type="http://schemas.openxmlformats.org/officeDocument/2006/relationships/hyperlink" Target="https://my.zakupivli.pro/remote/dispatcher/state_purchase_view/53395559" TargetMode="External"/><Relationship Id="rId414" Type="http://schemas.openxmlformats.org/officeDocument/2006/relationships/hyperlink" Target="https://my.zakupivli.pro/remote/dispatcher/state_contracting_view/12503758" TargetMode="External"/><Relationship Id="rId456" Type="http://schemas.openxmlformats.org/officeDocument/2006/relationships/hyperlink" Target="https://my.zakupivli.pro/remote/dispatcher/state_contracting_view/12457473" TargetMode="External"/><Relationship Id="rId498" Type="http://schemas.openxmlformats.org/officeDocument/2006/relationships/hyperlink" Target="https://my.zakupivli.pro/remote/dispatcher/state_contracting_view/14318054" TargetMode="External"/><Relationship Id="rId621" Type="http://schemas.openxmlformats.org/officeDocument/2006/relationships/hyperlink" Target="https://my.zakupivli.pro/remote/dispatcher/state_purchase_view/30158455" TargetMode="External"/><Relationship Id="rId663" Type="http://schemas.openxmlformats.org/officeDocument/2006/relationships/hyperlink" Target="https://my.zakupivli.pro/remote/dispatcher/state_purchase_view/25755663" TargetMode="External"/><Relationship Id="rId13" Type="http://schemas.openxmlformats.org/officeDocument/2006/relationships/hyperlink" Target="https://my.zakupivli.pro/remote/dispatcher/state_purchase_view/65250380" TargetMode="External"/><Relationship Id="rId109" Type="http://schemas.openxmlformats.org/officeDocument/2006/relationships/hyperlink" Target="https://my.zakupivli.pro/remote/dispatcher/state_purchase_view/62855489" TargetMode="External"/><Relationship Id="rId260" Type="http://schemas.openxmlformats.org/officeDocument/2006/relationships/hyperlink" Target="https://my.zakupivli.pro/remote/dispatcher/state_contracting_view/22018614" TargetMode="External"/><Relationship Id="rId316" Type="http://schemas.openxmlformats.org/officeDocument/2006/relationships/hyperlink" Target="https://my.zakupivli.pro/remote/dispatcher/state_contracting_view/16514667" TargetMode="External"/><Relationship Id="rId523" Type="http://schemas.openxmlformats.org/officeDocument/2006/relationships/hyperlink" Target="https://my.zakupivli.pro/remote/dispatcher/state_purchase_view/35504413" TargetMode="External"/><Relationship Id="rId719" Type="http://schemas.openxmlformats.org/officeDocument/2006/relationships/hyperlink" Target="https://my.zakupivli.pro/remote/dispatcher/state_purchase_view/20515614" TargetMode="External"/><Relationship Id="rId55" Type="http://schemas.openxmlformats.org/officeDocument/2006/relationships/hyperlink" Target="https://my.zakupivli.pro/remote/dispatcher/state_purchase_view/64096053" TargetMode="External"/><Relationship Id="rId97" Type="http://schemas.openxmlformats.org/officeDocument/2006/relationships/hyperlink" Target="https://my.zakupivli.pro/remote/dispatcher/state_purchase_view/56428700" TargetMode="External"/><Relationship Id="rId120" Type="http://schemas.openxmlformats.org/officeDocument/2006/relationships/hyperlink" Target="https://my.zakupivli.pro/remote/dispatcher/state_contracting_view/25485198" TargetMode="External"/><Relationship Id="rId358" Type="http://schemas.openxmlformats.org/officeDocument/2006/relationships/hyperlink" Target="https://my.zakupivli.pro/remote/dispatcher/state_contracting_view/16687289" TargetMode="External"/><Relationship Id="rId565" Type="http://schemas.openxmlformats.org/officeDocument/2006/relationships/hyperlink" Target="https://my.zakupivli.pro/remote/dispatcher/state_purchase_view/23324526" TargetMode="External"/><Relationship Id="rId162" Type="http://schemas.openxmlformats.org/officeDocument/2006/relationships/hyperlink" Target="https://my.zakupivli.pro/remote/dispatcher/state_contracting_view/19692218" TargetMode="External"/><Relationship Id="rId218" Type="http://schemas.openxmlformats.org/officeDocument/2006/relationships/hyperlink" Target="https://my.zakupivli.pro/remote/dispatcher/state_contracting_view/22371313" TargetMode="External"/><Relationship Id="rId425" Type="http://schemas.openxmlformats.org/officeDocument/2006/relationships/hyperlink" Target="https://my.zakupivli.pro/remote/dispatcher/state_purchase_view/37244782" TargetMode="External"/><Relationship Id="rId467" Type="http://schemas.openxmlformats.org/officeDocument/2006/relationships/hyperlink" Target="https://my.zakupivli.pro/remote/dispatcher/state_purchase_view/38460224" TargetMode="External"/><Relationship Id="rId632" Type="http://schemas.openxmlformats.org/officeDocument/2006/relationships/hyperlink" Target="https://my.zakupivli.pro/remote/dispatcher/state_contracting_view/9825193" TargetMode="External"/><Relationship Id="rId271" Type="http://schemas.openxmlformats.org/officeDocument/2006/relationships/hyperlink" Target="https://my.zakupivli.pro/remote/dispatcher/state_purchase_view/45244907" TargetMode="External"/><Relationship Id="rId674" Type="http://schemas.openxmlformats.org/officeDocument/2006/relationships/hyperlink" Target="https://my.zakupivli.pro/remote/dispatcher/state_contracting_view/5625072" TargetMode="External"/><Relationship Id="rId24" Type="http://schemas.openxmlformats.org/officeDocument/2006/relationships/hyperlink" Target="https://my.zakupivli.pro/remote/dispatcher/state_contracting_view/26645103" TargetMode="External"/><Relationship Id="rId66" Type="http://schemas.openxmlformats.org/officeDocument/2006/relationships/hyperlink" Target="https://my.zakupivli.pro/remote/dispatcher/state_contracting_view/24074177" TargetMode="External"/><Relationship Id="rId131" Type="http://schemas.openxmlformats.org/officeDocument/2006/relationships/hyperlink" Target="https://my.zakupivli.pro/remote/dispatcher/state_purchase_view/56439821" TargetMode="External"/><Relationship Id="rId327" Type="http://schemas.openxmlformats.org/officeDocument/2006/relationships/hyperlink" Target="https://my.zakupivli.pro/remote/dispatcher/state_purchase_view/41933683" TargetMode="External"/><Relationship Id="rId369" Type="http://schemas.openxmlformats.org/officeDocument/2006/relationships/hyperlink" Target="https://my.zakupivli.pro/remote/dispatcher/state_purchase_view/43373247" TargetMode="External"/><Relationship Id="rId534" Type="http://schemas.openxmlformats.org/officeDocument/2006/relationships/hyperlink" Target="https://my.zakupivli.pro/remote/dispatcher/state_contracting_view/10167195" TargetMode="External"/><Relationship Id="rId576" Type="http://schemas.openxmlformats.org/officeDocument/2006/relationships/hyperlink" Target="https://my.zakupivli.pro/remote/dispatcher/state_contracting_view/8768721" TargetMode="External"/><Relationship Id="rId173" Type="http://schemas.openxmlformats.org/officeDocument/2006/relationships/hyperlink" Target="https://my.zakupivli.pro/remote/dispatcher/state_purchase_view/53885813" TargetMode="External"/><Relationship Id="rId229" Type="http://schemas.openxmlformats.org/officeDocument/2006/relationships/hyperlink" Target="https://my.zakupivli.pro/remote/dispatcher/state_purchase_view/48281446" TargetMode="External"/><Relationship Id="rId380" Type="http://schemas.openxmlformats.org/officeDocument/2006/relationships/hyperlink" Target="https://my.zakupivli.pro/remote/dispatcher/state_contracting_view/17871422" TargetMode="External"/><Relationship Id="rId436" Type="http://schemas.openxmlformats.org/officeDocument/2006/relationships/hyperlink" Target="https://my.zakupivli.pro/remote/dispatcher/state_contracting_view/13916346" TargetMode="External"/><Relationship Id="rId601" Type="http://schemas.openxmlformats.org/officeDocument/2006/relationships/hyperlink" Target="https://my.zakupivli.pro/remote/dispatcher/state_purchase_view/30989800" TargetMode="External"/><Relationship Id="rId643" Type="http://schemas.openxmlformats.org/officeDocument/2006/relationships/hyperlink" Target="https://my.zakupivli.pro/remote/dispatcher/state_purchase_view/28546626" TargetMode="External"/><Relationship Id="rId240" Type="http://schemas.openxmlformats.org/officeDocument/2006/relationships/hyperlink" Target="https://my.zakupivli.pro/remote/dispatcher/state_contracting_view/18877516" TargetMode="External"/><Relationship Id="rId478" Type="http://schemas.openxmlformats.org/officeDocument/2006/relationships/hyperlink" Target="https://my.zakupivli.pro/remote/dispatcher/state_contracting_view/12489814" TargetMode="External"/><Relationship Id="rId685" Type="http://schemas.openxmlformats.org/officeDocument/2006/relationships/hyperlink" Target="https://my.zakupivli.pro/remote/dispatcher/state_purchase_view/19394503" TargetMode="External"/><Relationship Id="rId35" Type="http://schemas.openxmlformats.org/officeDocument/2006/relationships/hyperlink" Target="https://my.zakupivli.pro/remote/dispatcher/state_purchase_view/60476602" TargetMode="External"/><Relationship Id="rId77" Type="http://schemas.openxmlformats.org/officeDocument/2006/relationships/hyperlink" Target="https://my.zakupivli.pro/remote/dispatcher/state_purchase_view/58970248" TargetMode="External"/><Relationship Id="rId100" Type="http://schemas.openxmlformats.org/officeDocument/2006/relationships/hyperlink" Target="https://my.zakupivli.pro/remote/dispatcher/state_contracting_view/23759233" TargetMode="External"/><Relationship Id="rId282" Type="http://schemas.openxmlformats.org/officeDocument/2006/relationships/hyperlink" Target="https://my.zakupivli.pro/remote/dispatcher/state_contracting_view/15949326" TargetMode="External"/><Relationship Id="rId338" Type="http://schemas.openxmlformats.org/officeDocument/2006/relationships/hyperlink" Target="https://my.zakupivli.pro/remote/dispatcher/state_contracting_view/17095011" TargetMode="External"/><Relationship Id="rId503" Type="http://schemas.openxmlformats.org/officeDocument/2006/relationships/hyperlink" Target="https://my.zakupivli.pro/remote/dispatcher/state_purchase_view/37239533" TargetMode="External"/><Relationship Id="rId545" Type="http://schemas.openxmlformats.org/officeDocument/2006/relationships/hyperlink" Target="https://my.zakupivli.pro/remote/dispatcher/state_purchase_view/27046088" TargetMode="External"/><Relationship Id="rId587" Type="http://schemas.openxmlformats.org/officeDocument/2006/relationships/hyperlink" Target="https://my.zakupivli.pro/remote/dispatcher/state_purchase_view/22970653" TargetMode="External"/><Relationship Id="rId710" Type="http://schemas.openxmlformats.org/officeDocument/2006/relationships/hyperlink" Target="https://my.zakupivli.pro/remote/dispatcher/state_contracting_view/5923129" TargetMode="External"/><Relationship Id="rId8" Type="http://schemas.openxmlformats.org/officeDocument/2006/relationships/hyperlink" Target="https://my.zakupivli.pro/remote/dispatcher/state_contracting_view/26623698" TargetMode="External"/><Relationship Id="rId142" Type="http://schemas.openxmlformats.org/officeDocument/2006/relationships/hyperlink" Target="https://my.zakupivli.pro/remote/dispatcher/state_contracting_view/22799396" TargetMode="External"/><Relationship Id="rId184" Type="http://schemas.openxmlformats.org/officeDocument/2006/relationships/hyperlink" Target="https://my.zakupivli.pro/remote/dispatcher/state_contracting_view/21714195" TargetMode="External"/><Relationship Id="rId391" Type="http://schemas.openxmlformats.org/officeDocument/2006/relationships/hyperlink" Target="https://my.zakupivli.pro/remote/dispatcher/state_purchase_view/43506012" TargetMode="External"/><Relationship Id="rId405" Type="http://schemas.openxmlformats.org/officeDocument/2006/relationships/hyperlink" Target="https://my.zakupivli.pro/remote/dispatcher/state_purchase_view/45690744" TargetMode="External"/><Relationship Id="rId447" Type="http://schemas.openxmlformats.org/officeDocument/2006/relationships/hyperlink" Target="https://my.zakupivli.pro/remote/dispatcher/state_purchase_view/36859183" TargetMode="External"/><Relationship Id="rId612" Type="http://schemas.openxmlformats.org/officeDocument/2006/relationships/hyperlink" Target="https://my.zakupivli.pro/remote/dispatcher/state_contracting_view/11033416" TargetMode="External"/><Relationship Id="rId251" Type="http://schemas.openxmlformats.org/officeDocument/2006/relationships/hyperlink" Target="https://my.zakupivli.pro/remote/dispatcher/state_purchase_view/55035893" TargetMode="External"/><Relationship Id="rId489" Type="http://schemas.openxmlformats.org/officeDocument/2006/relationships/hyperlink" Target="https://my.zakupivli.pro/remote/dispatcher/state_purchase_view/38217616" TargetMode="External"/><Relationship Id="rId654" Type="http://schemas.openxmlformats.org/officeDocument/2006/relationships/hyperlink" Target="https://my.zakupivli.pro/remote/dispatcher/state_contracting_view/9127549" TargetMode="External"/><Relationship Id="rId696" Type="http://schemas.openxmlformats.org/officeDocument/2006/relationships/hyperlink" Target="https://my.zakupivli.pro/remote/dispatcher/state_contracting_view/6100119" TargetMode="External"/><Relationship Id="rId46" Type="http://schemas.openxmlformats.org/officeDocument/2006/relationships/hyperlink" Target="https://my.zakupivli.pro/remote/dispatcher/state_contracting_view/23760284" TargetMode="External"/><Relationship Id="rId293" Type="http://schemas.openxmlformats.org/officeDocument/2006/relationships/hyperlink" Target="https://my.zakupivli.pro/remote/dispatcher/state_purchase_view/43218060" TargetMode="External"/><Relationship Id="rId307" Type="http://schemas.openxmlformats.org/officeDocument/2006/relationships/hyperlink" Target="https://my.zakupivli.pro/remote/dispatcher/state_purchase_view/45576339" TargetMode="External"/><Relationship Id="rId349" Type="http://schemas.openxmlformats.org/officeDocument/2006/relationships/hyperlink" Target="https://my.zakupivli.pro/remote/dispatcher/state_purchase_view/47306995" TargetMode="External"/><Relationship Id="rId514" Type="http://schemas.openxmlformats.org/officeDocument/2006/relationships/hyperlink" Target="https://my.zakupivli.pro/remote/dispatcher/state_contracting_view/13483182" TargetMode="External"/><Relationship Id="rId556" Type="http://schemas.openxmlformats.org/officeDocument/2006/relationships/hyperlink" Target="https://my.zakupivli.pro/remote/dispatcher/state_contracting_view/7314353" TargetMode="External"/><Relationship Id="rId721" Type="http://schemas.openxmlformats.org/officeDocument/2006/relationships/hyperlink" Target="https://my.zakupivli.pro/remote/dispatcher/state_purchase_view/21017886" TargetMode="External"/><Relationship Id="rId88" Type="http://schemas.openxmlformats.org/officeDocument/2006/relationships/hyperlink" Target="https://my.zakupivli.pro/remote/dispatcher/state_contracting_view/26133703" TargetMode="External"/><Relationship Id="rId111" Type="http://schemas.openxmlformats.org/officeDocument/2006/relationships/hyperlink" Target="https://my.zakupivli.pro/remote/dispatcher/state_purchase_view/62282414" TargetMode="External"/><Relationship Id="rId153" Type="http://schemas.openxmlformats.org/officeDocument/2006/relationships/hyperlink" Target="https://my.zakupivli.pro/remote/dispatcher/state_purchase_view/56409626" TargetMode="External"/><Relationship Id="rId195" Type="http://schemas.openxmlformats.org/officeDocument/2006/relationships/hyperlink" Target="https://my.zakupivli.pro/remote/dispatcher/state_purchase_view/50586662" TargetMode="External"/><Relationship Id="rId209" Type="http://schemas.openxmlformats.org/officeDocument/2006/relationships/hyperlink" Target="https://my.zakupivli.pro/remote/dispatcher/state_purchase_view/51080507" TargetMode="External"/><Relationship Id="rId360" Type="http://schemas.openxmlformats.org/officeDocument/2006/relationships/hyperlink" Target="https://my.zakupivli.pro/remote/dispatcher/state_contracting_view/16686618" TargetMode="External"/><Relationship Id="rId416" Type="http://schemas.openxmlformats.org/officeDocument/2006/relationships/hyperlink" Target="https://my.zakupivli.pro/remote/dispatcher/state_contracting_view/14511270" TargetMode="External"/><Relationship Id="rId598" Type="http://schemas.openxmlformats.org/officeDocument/2006/relationships/hyperlink" Target="https://my.zakupivli.pro/remote/dispatcher/state_contracting_view/10576865" TargetMode="External"/><Relationship Id="rId220" Type="http://schemas.openxmlformats.org/officeDocument/2006/relationships/hyperlink" Target="https://my.zakupivli.pro/remote/dispatcher/state_contracting_view/20787731" TargetMode="External"/><Relationship Id="rId458" Type="http://schemas.openxmlformats.org/officeDocument/2006/relationships/hyperlink" Target="https://my.zakupivli.pro/remote/dispatcher/state_contracting_view/12457699" TargetMode="External"/><Relationship Id="rId623" Type="http://schemas.openxmlformats.org/officeDocument/2006/relationships/hyperlink" Target="https://my.zakupivli.pro/remote/dispatcher/state_purchase_view/29649860" TargetMode="External"/><Relationship Id="rId665" Type="http://schemas.openxmlformats.org/officeDocument/2006/relationships/hyperlink" Target="https://my.zakupivli.pro/remote/dispatcher/state_purchase_view/23528851" TargetMode="External"/><Relationship Id="rId15" Type="http://schemas.openxmlformats.org/officeDocument/2006/relationships/hyperlink" Target="https://my.zakupivli.pro/remote/dispatcher/state_purchase_view/65241207" TargetMode="External"/><Relationship Id="rId57" Type="http://schemas.openxmlformats.org/officeDocument/2006/relationships/hyperlink" Target="https://my.zakupivli.pro/remote/dispatcher/state_purchase_view/61987046" TargetMode="External"/><Relationship Id="rId262" Type="http://schemas.openxmlformats.org/officeDocument/2006/relationships/hyperlink" Target="https://my.zakupivli.pro/remote/dispatcher/state_contracting_view/14431189" TargetMode="External"/><Relationship Id="rId318" Type="http://schemas.openxmlformats.org/officeDocument/2006/relationships/hyperlink" Target="https://my.zakupivli.pro/remote/dispatcher/state_contracting_view/15274224" TargetMode="External"/><Relationship Id="rId525" Type="http://schemas.openxmlformats.org/officeDocument/2006/relationships/hyperlink" Target="https://my.zakupivli.pro/remote/dispatcher/state_purchase_view/35503836" TargetMode="External"/><Relationship Id="rId567" Type="http://schemas.openxmlformats.org/officeDocument/2006/relationships/hyperlink" Target="https://my.zakupivli.pro/remote/dispatcher/state_purchase_view/32693085" TargetMode="External"/><Relationship Id="rId99" Type="http://schemas.openxmlformats.org/officeDocument/2006/relationships/hyperlink" Target="https://my.zakupivli.pro/remote/dispatcher/state_purchase_view/58622617" TargetMode="External"/><Relationship Id="rId122" Type="http://schemas.openxmlformats.org/officeDocument/2006/relationships/hyperlink" Target="https://my.zakupivli.pro/remote/dispatcher/state_contracting_view/25198148" TargetMode="External"/><Relationship Id="rId164" Type="http://schemas.openxmlformats.org/officeDocument/2006/relationships/hyperlink" Target="https://my.zakupivli.pro/remote/dispatcher/state_contracting_view/21116721" TargetMode="External"/><Relationship Id="rId371" Type="http://schemas.openxmlformats.org/officeDocument/2006/relationships/hyperlink" Target="https://my.zakupivli.pro/remote/dispatcher/state_purchase_view/44122369" TargetMode="External"/><Relationship Id="rId427" Type="http://schemas.openxmlformats.org/officeDocument/2006/relationships/hyperlink" Target="https://my.zakupivli.pro/remote/dispatcher/state_purchase_view/38632258" TargetMode="External"/><Relationship Id="rId469" Type="http://schemas.openxmlformats.org/officeDocument/2006/relationships/hyperlink" Target="https://my.zakupivli.pro/remote/dispatcher/state_purchase_view/37297252" TargetMode="External"/><Relationship Id="rId634" Type="http://schemas.openxmlformats.org/officeDocument/2006/relationships/hyperlink" Target="https://my.zakupivli.pro/remote/dispatcher/state_contracting_view/9821912" TargetMode="External"/><Relationship Id="rId676" Type="http://schemas.openxmlformats.org/officeDocument/2006/relationships/hyperlink" Target="https://my.zakupivli.pro/remote/dispatcher/state_contracting_view/5536074" TargetMode="External"/><Relationship Id="rId26" Type="http://schemas.openxmlformats.org/officeDocument/2006/relationships/hyperlink" Target="https://my.zakupivli.pro/remote/dispatcher/state_contracting_view/23759977" TargetMode="External"/><Relationship Id="rId231" Type="http://schemas.openxmlformats.org/officeDocument/2006/relationships/hyperlink" Target="https://my.zakupivli.pro/remote/dispatcher/state_purchase_view/54044290" TargetMode="External"/><Relationship Id="rId273" Type="http://schemas.openxmlformats.org/officeDocument/2006/relationships/hyperlink" Target="https://my.zakupivli.pro/remote/dispatcher/state_purchase_view/43975742" TargetMode="External"/><Relationship Id="rId329" Type="http://schemas.openxmlformats.org/officeDocument/2006/relationships/hyperlink" Target="https://my.zakupivli.pro/remote/dispatcher/state_purchase_view/41571229" TargetMode="External"/><Relationship Id="rId480" Type="http://schemas.openxmlformats.org/officeDocument/2006/relationships/hyperlink" Target="https://my.zakupivli.pro/remote/dispatcher/state_contracting_view/12552372" TargetMode="External"/><Relationship Id="rId536" Type="http://schemas.openxmlformats.org/officeDocument/2006/relationships/hyperlink" Target="https://my.zakupivli.pro/remote/dispatcher/state_contracting_view/7291559" TargetMode="External"/><Relationship Id="rId701" Type="http://schemas.openxmlformats.org/officeDocument/2006/relationships/hyperlink" Target="https://my.zakupivli.pro/remote/dispatcher/state_purchase_view/22424243" TargetMode="External"/><Relationship Id="rId68" Type="http://schemas.openxmlformats.org/officeDocument/2006/relationships/hyperlink" Target="https://my.zakupivli.pro/remote/dispatcher/state_contracting_view/24960622" TargetMode="External"/><Relationship Id="rId133" Type="http://schemas.openxmlformats.org/officeDocument/2006/relationships/hyperlink" Target="https://my.zakupivli.pro/remote/dispatcher/state_purchase_view/63560562" TargetMode="External"/><Relationship Id="rId175" Type="http://schemas.openxmlformats.org/officeDocument/2006/relationships/hyperlink" Target="https://my.zakupivli.pro/remote/dispatcher/state_purchase_view/51078963" TargetMode="External"/><Relationship Id="rId340" Type="http://schemas.openxmlformats.org/officeDocument/2006/relationships/hyperlink" Target="https://my.zakupivli.pro/remote/dispatcher/state_contracting_view/17740833" TargetMode="External"/><Relationship Id="rId578" Type="http://schemas.openxmlformats.org/officeDocument/2006/relationships/hyperlink" Target="https://my.zakupivli.pro/remote/dispatcher/state_contracting_view/9443216" TargetMode="External"/><Relationship Id="rId200" Type="http://schemas.openxmlformats.org/officeDocument/2006/relationships/hyperlink" Target="https://my.zakupivli.pro/remote/dispatcher/state_contracting_view/18867133" TargetMode="External"/><Relationship Id="rId382" Type="http://schemas.openxmlformats.org/officeDocument/2006/relationships/hyperlink" Target="https://my.zakupivli.pro/remote/dispatcher/state_contracting_view/18043527" TargetMode="External"/><Relationship Id="rId438" Type="http://schemas.openxmlformats.org/officeDocument/2006/relationships/hyperlink" Target="https://my.zakupivli.pro/remote/dispatcher/state_contracting_view/14506668" TargetMode="External"/><Relationship Id="rId603" Type="http://schemas.openxmlformats.org/officeDocument/2006/relationships/hyperlink" Target="https://my.zakupivli.pro/remote/dispatcher/state_purchase_view/32967730" TargetMode="External"/><Relationship Id="rId645" Type="http://schemas.openxmlformats.org/officeDocument/2006/relationships/hyperlink" Target="https://my.zakupivli.pro/remote/dispatcher/state_purchase_view/28540477" TargetMode="External"/><Relationship Id="rId687" Type="http://schemas.openxmlformats.org/officeDocument/2006/relationships/hyperlink" Target="https://my.zakupivli.pro/remote/dispatcher/state_purchase_view/21326197" TargetMode="External"/><Relationship Id="rId242" Type="http://schemas.openxmlformats.org/officeDocument/2006/relationships/hyperlink" Target="https://my.zakupivli.pro/remote/dispatcher/state_contracting_view/21127845" TargetMode="External"/><Relationship Id="rId284" Type="http://schemas.openxmlformats.org/officeDocument/2006/relationships/hyperlink" Target="https://my.zakupivli.pro/remote/dispatcher/state_contracting_view/15241914" TargetMode="External"/><Relationship Id="rId491" Type="http://schemas.openxmlformats.org/officeDocument/2006/relationships/hyperlink" Target="https://my.zakupivli.pro/remote/dispatcher/state_purchase_view/38481594" TargetMode="External"/><Relationship Id="rId505" Type="http://schemas.openxmlformats.org/officeDocument/2006/relationships/hyperlink" Target="https://my.zakupivli.pro/remote/dispatcher/state_purchase_view/37238635" TargetMode="External"/><Relationship Id="rId712" Type="http://schemas.openxmlformats.org/officeDocument/2006/relationships/hyperlink" Target="https://my.zakupivli.pro/remote/dispatcher/state_contracting_view/6315781" TargetMode="External"/><Relationship Id="rId37" Type="http://schemas.openxmlformats.org/officeDocument/2006/relationships/hyperlink" Target="https://my.zakupivli.pro/remote/dispatcher/state_purchase_view/64567294" TargetMode="External"/><Relationship Id="rId79" Type="http://schemas.openxmlformats.org/officeDocument/2006/relationships/hyperlink" Target="https://my.zakupivli.pro/remote/dispatcher/state_purchase_view/59202084" TargetMode="External"/><Relationship Id="rId102" Type="http://schemas.openxmlformats.org/officeDocument/2006/relationships/hyperlink" Target="https://my.zakupivli.pro/remote/dispatcher/state_contracting_view/24388141" TargetMode="External"/><Relationship Id="rId144" Type="http://schemas.openxmlformats.org/officeDocument/2006/relationships/hyperlink" Target="https://my.zakupivli.pro/remote/dispatcher/state_contracting_view/22806732" TargetMode="External"/><Relationship Id="rId547" Type="http://schemas.openxmlformats.org/officeDocument/2006/relationships/hyperlink" Target="https://my.zakupivli.pro/remote/dispatcher/state_purchase_view/28576694" TargetMode="External"/><Relationship Id="rId589" Type="http://schemas.openxmlformats.org/officeDocument/2006/relationships/hyperlink" Target="https://my.zakupivli.pro/remote/dispatcher/state_purchase_view/23206350" TargetMode="External"/><Relationship Id="rId90" Type="http://schemas.openxmlformats.org/officeDocument/2006/relationships/hyperlink" Target="https://my.zakupivli.pro/remote/dispatcher/state_contracting_view/25895807" TargetMode="External"/><Relationship Id="rId186" Type="http://schemas.openxmlformats.org/officeDocument/2006/relationships/hyperlink" Target="https://my.zakupivli.pro/remote/dispatcher/state_contracting_view/19813426" TargetMode="External"/><Relationship Id="rId351" Type="http://schemas.openxmlformats.org/officeDocument/2006/relationships/hyperlink" Target="https://my.zakupivli.pro/remote/dispatcher/state_purchase_view/43490594" TargetMode="External"/><Relationship Id="rId393" Type="http://schemas.openxmlformats.org/officeDocument/2006/relationships/hyperlink" Target="https://my.zakupivli.pro/remote/dispatcher/state_purchase_view/41568995" TargetMode="External"/><Relationship Id="rId407" Type="http://schemas.openxmlformats.org/officeDocument/2006/relationships/hyperlink" Target="https://my.zakupivli.pro/remote/dispatcher/state_purchase_view/45689545" TargetMode="External"/><Relationship Id="rId449" Type="http://schemas.openxmlformats.org/officeDocument/2006/relationships/hyperlink" Target="https://my.zakupivli.pro/remote/dispatcher/state_purchase_view/36368272" TargetMode="External"/><Relationship Id="rId614" Type="http://schemas.openxmlformats.org/officeDocument/2006/relationships/hyperlink" Target="https://my.zakupivli.pro/remote/dispatcher/state_contracting_view/10476978" TargetMode="External"/><Relationship Id="rId656" Type="http://schemas.openxmlformats.org/officeDocument/2006/relationships/hyperlink" Target="https://my.zakupivli.pro/remote/dispatcher/state_contracting_view/9127590" TargetMode="External"/><Relationship Id="rId211" Type="http://schemas.openxmlformats.org/officeDocument/2006/relationships/hyperlink" Target="https://my.zakupivli.pro/remote/dispatcher/state_purchase_view/53714079" TargetMode="External"/><Relationship Id="rId253" Type="http://schemas.openxmlformats.org/officeDocument/2006/relationships/hyperlink" Target="https://my.zakupivli.pro/remote/dispatcher/state_purchase_view/50576083" TargetMode="External"/><Relationship Id="rId295" Type="http://schemas.openxmlformats.org/officeDocument/2006/relationships/hyperlink" Target="https://my.zakupivli.pro/remote/dispatcher/state_purchase_view/43493304" TargetMode="External"/><Relationship Id="rId309" Type="http://schemas.openxmlformats.org/officeDocument/2006/relationships/hyperlink" Target="https://my.zakupivli.pro/remote/dispatcher/state_purchase_view/46002173" TargetMode="External"/><Relationship Id="rId460" Type="http://schemas.openxmlformats.org/officeDocument/2006/relationships/hyperlink" Target="https://my.zakupivli.pro/remote/dispatcher/state_contracting_view/12501097" TargetMode="External"/><Relationship Id="rId516" Type="http://schemas.openxmlformats.org/officeDocument/2006/relationships/hyperlink" Target="https://my.zakupivli.pro/remote/dispatcher/state_contracting_view/13483251" TargetMode="External"/><Relationship Id="rId698" Type="http://schemas.openxmlformats.org/officeDocument/2006/relationships/hyperlink" Target="https://my.zakupivli.pro/remote/dispatcher/state_contracting_view/6166802" TargetMode="External"/><Relationship Id="rId48" Type="http://schemas.openxmlformats.org/officeDocument/2006/relationships/hyperlink" Target="https://my.zakupivli.pro/remote/dispatcher/state_contracting_view/24641460" TargetMode="External"/><Relationship Id="rId113" Type="http://schemas.openxmlformats.org/officeDocument/2006/relationships/hyperlink" Target="https://my.zakupivli.pro/remote/dispatcher/state_purchase_view/61213381" TargetMode="External"/><Relationship Id="rId320" Type="http://schemas.openxmlformats.org/officeDocument/2006/relationships/hyperlink" Target="https://my.zakupivli.pro/remote/dispatcher/state_contracting_view/17095432" TargetMode="External"/><Relationship Id="rId558" Type="http://schemas.openxmlformats.org/officeDocument/2006/relationships/hyperlink" Target="https://my.zakupivli.pro/remote/dispatcher/state_contracting_view/10419281" TargetMode="External"/><Relationship Id="rId723" Type="http://schemas.openxmlformats.org/officeDocument/2006/relationships/hyperlink" Target="https://my.zakupivli.pro/remote/dispatcher/state_purchase_view/21691004" TargetMode="External"/><Relationship Id="rId155" Type="http://schemas.openxmlformats.org/officeDocument/2006/relationships/hyperlink" Target="https://my.zakupivli.pro/remote/dispatcher/state_purchase_view/52668156" TargetMode="External"/><Relationship Id="rId197" Type="http://schemas.openxmlformats.org/officeDocument/2006/relationships/hyperlink" Target="https://my.zakupivli.pro/remote/dispatcher/state_purchase_view/55495264" TargetMode="External"/><Relationship Id="rId362" Type="http://schemas.openxmlformats.org/officeDocument/2006/relationships/hyperlink" Target="https://my.zakupivli.pro/remote/dispatcher/state_contracting_view/18220732" TargetMode="External"/><Relationship Id="rId418" Type="http://schemas.openxmlformats.org/officeDocument/2006/relationships/hyperlink" Target="https://my.zakupivli.pro/remote/dispatcher/state_contracting_view/13916988" TargetMode="External"/><Relationship Id="rId625" Type="http://schemas.openxmlformats.org/officeDocument/2006/relationships/hyperlink" Target="https://my.zakupivli.pro/remote/dispatcher/state_purchase_view/29652140" TargetMode="External"/><Relationship Id="rId222" Type="http://schemas.openxmlformats.org/officeDocument/2006/relationships/hyperlink" Target="https://my.zakupivli.pro/remote/dispatcher/state_contracting_view/21116663" TargetMode="External"/><Relationship Id="rId264" Type="http://schemas.openxmlformats.org/officeDocument/2006/relationships/hyperlink" Target="https://my.zakupivli.pro/remote/dispatcher/state_contracting_view/15948768" TargetMode="External"/><Relationship Id="rId471" Type="http://schemas.openxmlformats.org/officeDocument/2006/relationships/hyperlink" Target="https://my.zakupivli.pro/remote/dispatcher/state_purchase_view/34475836" TargetMode="External"/><Relationship Id="rId667" Type="http://schemas.openxmlformats.org/officeDocument/2006/relationships/hyperlink" Target="https://my.zakupivli.pro/remote/dispatcher/state_purchase_view/20582872" TargetMode="External"/><Relationship Id="rId17" Type="http://schemas.openxmlformats.org/officeDocument/2006/relationships/hyperlink" Target="https://my.zakupivli.pro/remote/dispatcher/state_purchase_view/65248839" TargetMode="External"/><Relationship Id="rId59" Type="http://schemas.openxmlformats.org/officeDocument/2006/relationships/hyperlink" Target="https://my.zakupivli.pro/remote/dispatcher/state_purchase_view/56551541" TargetMode="External"/><Relationship Id="rId124" Type="http://schemas.openxmlformats.org/officeDocument/2006/relationships/hyperlink" Target="https://my.zakupivli.pro/remote/dispatcher/state_contracting_view/24884275" TargetMode="External"/><Relationship Id="rId527" Type="http://schemas.openxmlformats.org/officeDocument/2006/relationships/hyperlink" Target="https://my.zakupivli.pro/remote/dispatcher/state_purchase_view/35503944" TargetMode="External"/><Relationship Id="rId569" Type="http://schemas.openxmlformats.org/officeDocument/2006/relationships/hyperlink" Target="https://my.zakupivli.pro/remote/dispatcher/state_purchase_view/26008261" TargetMode="External"/><Relationship Id="rId70" Type="http://schemas.openxmlformats.org/officeDocument/2006/relationships/hyperlink" Target="https://my.zakupivli.pro/remote/dispatcher/state_contracting_view/24884107" TargetMode="External"/><Relationship Id="rId166" Type="http://schemas.openxmlformats.org/officeDocument/2006/relationships/hyperlink" Target="https://my.zakupivli.pro/remote/dispatcher/state_contracting_view/22031113" TargetMode="External"/><Relationship Id="rId331" Type="http://schemas.openxmlformats.org/officeDocument/2006/relationships/hyperlink" Target="https://my.zakupivli.pro/remote/dispatcher/state_purchase_view/39988888" TargetMode="External"/><Relationship Id="rId373" Type="http://schemas.openxmlformats.org/officeDocument/2006/relationships/hyperlink" Target="https://my.zakupivli.pro/remote/dispatcher/state_purchase_view/44125463" TargetMode="External"/><Relationship Id="rId429" Type="http://schemas.openxmlformats.org/officeDocument/2006/relationships/hyperlink" Target="https://my.zakupivli.pro/remote/dispatcher/state_purchase_view/38620640" TargetMode="External"/><Relationship Id="rId580" Type="http://schemas.openxmlformats.org/officeDocument/2006/relationships/hyperlink" Target="https://my.zakupivli.pro/remote/dispatcher/state_contracting_view/11108541" TargetMode="External"/><Relationship Id="rId636" Type="http://schemas.openxmlformats.org/officeDocument/2006/relationships/hyperlink" Target="https://my.zakupivli.pro/remote/dispatcher/state_contracting_view/9824431" TargetMode="External"/><Relationship Id="rId1" Type="http://schemas.openxmlformats.org/officeDocument/2006/relationships/hyperlink" Target="https://my.zakupivli.pro/remote/dispatcher/state_purchase_view/65246752" TargetMode="External"/><Relationship Id="rId233" Type="http://schemas.openxmlformats.org/officeDocument/2006/relationships/hyperlink" Target="https://my.zakupivli.pro/remote/dispatcher/state_purchase_view/48282959" TargetMode="External"/><Relationship Id="rId440" Type="http://schemas.openxmlformats.org/officeDocument/2006/relationships/hyperlink" Target="https://my.zakupivli.pro/remote/dispatcher/state_contracting_view/14523296" TargetMode="External"/><Relationship Id="rId678" Type="http://schemas.openxmlformats.org/officeDocument/2006/relationships/hyperlink" Target="https://my.zakupivli.pro/remote/dispatcher/state_contracting_view/5584245" TargetMode="External"/><Relationship Id="rId28" Type="http://schemas.openxmlformats.org/officeDocument/2006/relationships/hyperlink" Target="https://my.zakupivli.pro/remote/dispatcher/state_contracting_view/23759553" TargetMode="External"/><Relationship Id="rId275" Type="http://schemas.openxmlformats.org/officeDocument/2006/relationships/hyperlink" Target="https://my.zakupivli.pro/remote/dispatcher/state_purchase_view/44979047" TargetMode="External"/><Relationship Id="rId300" Type="http://schemas.openxmlformats.org/officeDocument/2006/relationships/hyperlink" Target="https://my.zakupivli.pro/remote/dispatcher/state_contracting_view/15273574" TargetMode="External"/><Relationship Id="rId482" Type="http://schemas.openxmlformats.org/officeDocument/2006/relationships/hyperlink" Target="https://my.zakupivli.pro/remote/dispatcher/state_contracting_view/12605354" TargetMode="External"/><Relationship Id="rId538" Type="http://schemas.openxmlformats.org/officeDocument/2006/relationships/hyperlink" Target="https://my.zakupivli.pro/remote/dispatcher/state_contracting_view/8487637" TargetMode="External"/><Relationship Id="rId703" Type="http://schemas.openxmlformats.org/officeDocument/2006/relationships/hyperlink" Target="https://my.zakupivli.pro/remote/dispatcher/state_purchase_view/21321854" TargetMode="External"/><Relationship Id="rId81" Type="http://schemas.openxmlformats.org/officeDocument/2006/relationships/hyperlink" Target="https://my.zakupivli.pro/remote/dispatcher/state_purchase_view/60517378" TargetMode="External"/><Relationship Id="rId135" Type="http://schemas.openxmlformats.org/officeDocument/2006/relationships/hyperlink" Target="https://my.zakupivli.pro/remote/dispatcher/state_purchase_view/64120673" TargetMode="External"/><Relationship Id="rId177" Type="http://schemas.openxmlformats.org/officeDocument/2006/relationships/hyperlink" Target="https://my.zakupivli.pro/remote/dispatcher/state_purchase_view/52519209" TargetMode="External"/><Relationship Id="rId342" Type="http://schemas.openxmlformats.org/officeDocument/2006/relationships/hyperlink" Target="https://my.zakupivli.pro/remote/dispatcher/state_contracting_view/15273493" TargetMode="External"/><Relationship Id="rId384" Type="http://schemas.openxmlformats.org/officeDocument/2006/relationships/hyperlink" Target="https://my.zakupivli.pro/remote/dispatcher/state_contracting_view/15241882" TargetMode="External"/><Relationship Id="rId591" Type="http://schemas.openxmlformats.org/officeDocument/2006/relationships/hyperlink" Target="https://my.zakupivli.pro/remote/dispatcher/state_purchase_view/23115379" TargetMode="External"/><Relationship Id="rId605" Type="http://schemas.openxmlformats.org/officeDocument/2006/relationships/hyperlink" Target="https://my.zakupivli.pro/remote/dispatcher/state_purchase_view/32694709" TargetMode="External"/><Relationship Id="rId202" Type="http://schemas.openxmlformats.org/officeDocument/2006/relationships/hyperlink" Target="https://my.zakupivli.pro/remote/dispatcher/state_contracting_view/18867990" TargetMode="External"/><Relationship Id="rId244" Type="http://schemas.openxmlformats.org/officeDocument/2006/relationships/hyperlink" Target="https://my.zakupivli.pro/remote/dispatcher/state_contracting_view/19740780" TargetMode="External"/><Relationship Id="rId647" Type="http://schemas.openxmlformats.org/officeDocument/2006/relationships/hyperlink" Target="https://my.zakupivli.pro/remote/dispatcher/state_purchase_view/27074624" TargetMode="External"/><Relationship Id="rId689" Type="http://schemas.openxmlformats.org/officeDocument/2006/relationships/hyperlink" Target="https://my.zakupivli.pro/remote/dispatcher/state_purchase_view/19556959" TargetMode="External"/><Relationship Id="rId39" Type="http://schemas.openxmlformats.org/officeDocument/2006/relationships/hyperlink" Target="https://my.zakupivli.pro/remote/dispatcher/state_purchase_view/64120002" TargetMode="External"/><Relationship Id="rId286" Type="http://schemas.openxmlformats.org/officeDocument/2006/relationships/hyperlink" Target="https://my.zakupivli.pro/remote/dispatcher/state_contracting_view/16686941" TargetMode="External"/><Relationship Id="rId451" Type="http://schemas.openxmlformats.org/officeDocument/2006/relationships/hyperlink" Target="https://my.zakupivli.pro/remote/dispatcher/state_purchase_view/36098083" TargetMode="External"/><Relationship Id="rId493" Type="http://schemas.openxmlformats.org/officeDocument/2006/relationships/hyperlink" Target="https://my.zakupivli.pro/remote/dispatcher/state_purchase_view/36205032" TargetMode="External"/><Relationship Id="rId507" Type="http://schemas.openxmlformats.org/officeDocument/2006/relationships/hyperlink" Target="https://my.zakupivli.pro/remote/dispatcher/state_purchase_view/36205243" TargetMode="External"/><Relationship Id="rId549" Type="http://schemas.openxmlformats.org/officeDocument/2006/relationships/hyperlink" Target="https://my.zakupivli.pro/remote/dispatcher/state_purchase_view/26942312" TargetMode="External"/><Relationship Id="rId714" Type="http://schemas.openxmlformats.org/officeDocument/2006/relationships/hyperlink" Target="https://my.zakupivli.pro/remote/dispatcher/state_contracting_view/5496249" TargetMode="External"/><Relationship Id="rId50" Type="http://schemas.openxmlformats.org/officeDocument/2006/relationships/hyperlink" Target="https://my.zakupivli.pro/remote/dispatcher/state_contracting_view/23847257" TargetMode="External"/><Relationship Id="rId104" Type="http://schemas.openxmlformats.org/officeDocument/2006/relationships/hyperlink" Target="https://my.zakupivli.pro/remote/dispatcher/state_contracting_view/24574858" TargetMode="External"/><Relationship Id="rId146" Type="http://schemas.openxmlformats.org/officeDocument/2006/relationships/hyperlink" Target="https://my.zakupivli.pro/remote/dispatcher/state_contracting_view/24848215" TargetMode="External"/><Relationship Id="rId188" Type="http://schemas.openxmlformats.org/officeDocument/2006/relationships/hyperlink" Target="https://my.zakupivli.pro/remote/dispatcher/state_contracting_view/20333688" TargetMode="External"/><Relationship Id="rId311" Type="http://schemas.openxmlformats.org/officeDocument/2006/relationships/hyperlink" Target="https://my.zakupivli.pro/remote/dispatcher/state_purchase_view/41568409" TargetMode="External"/><Relationship Id="rId353" Type="http://schemas.openxmlformats.org/officeDocument/2006/relationships/hyperlink" Target="https://my.zakupivli.pro/remote/dispatcher/state_purchase_view/44979439" TargetMode="External"/><Relationship Id="rId395" Type="http://schemas.openxmlformats.org/officeDocument/2006/relationships/hyperlink" Target="https://my.zakupivli.pro/remote/dispatcher/state_purchase_view/46755908" TargetMode="External"/><Relationship Id="rId409" Type="http://schemas.openxmlformats.org/officeDocument/2006/relationships/hyperlink" Target="https://my.zakupivli.pro/remote/dispatcher/state_purchase_view/45691193" TargetMode="External"/><Relationship Id="rId560" Type="http://schemas.openxmlformats.org/officeDocument/2006/relationships/hyperlink" Target="https://my.zakupivli.pro/remote/dispatcher/state_contracting_view/11733677" TargetMode="External"/><Relationship Id="rId92" Type="http://schemas.openxmlformats.org/officeDocument/2006/relationships/hyperlink" Target="https://my.zakupivli.pro/remote/dispatcher/state_contracting_view/26091495" TargetMode="External"/><Relationship Id="rId213" Type="http://schemas.openxmlformats.org/officeDocument/2006/relationships/hyperlink" Target="https://my.zakupivli.pro/remote/dispatcher/state_purchase_view/49033811" TargetMode="External"/><Relationship Id="rId420" Type="http://schemas.openxmlformats.org/officeDocument/2006/relationships/hyperlink" Target="https://my.zakupivli.pro/remote/dispatcher/state_contracting_view/12502278" TargetMode="External"/><Relationship Id="rId616" Type="http://schemas.openxmlformats.org/officeDocument/2006/relationships/hyperlink" Target="https://my.zakupivli.pro/remote/dispatcher/state_contracting_view/10857351" TargetMode="External"/><Relationship Id="rId658" Type="http://schemas.openxmlformats.org/officeDocument/2006/relationships/hyperlink" Target="https://my.zakupivli.pro/remote/dispatcher/state_contracting_view/8505407" TargetMode="External"/><Relationship Id="rId255" Type="http://schemas.openxmlformats.org/officeDocument/2006/relationships/hyperlink" Target="https://my.zakupivli.pro/remote/dispatcher/state_purchase_view/51760083" TargetMode="External"/><Relationship Id="rId297" Type="http://schemas.openxmlformats.org/officeDocument/2006/relationships/hyperlink" Target="https://my.zakupivli.pro/remote/dispatcher/state_purchase_view/40015078" TargetMode="External"/><Relationship Id="rId462" Type="http://schemas.openxmlformats.org/officeDocument/2006/relationships/hyperlink" Target="https://my.zakupivli.pro/remote/dispatcher/state_contracting_view/12491070" TargetMode="External"/><Relationship Id="rId518" Type="http://schemas.openxmlformats.org/officeDocument/2006/relationships/hyperlink" Target="https://my.zakupivli.pro/remote/dispatcher/state_contracting_view/14581618" TargetMode="External"/><Relationship Id="rId115" Type="http://schemas.openxmlformats.org/officeDocument/2006/relationships/hyperlink" Target="https://my.zakupivli.pro/remote/dispatcher/state_purchase_view/61656825" TargetMode="External"/><Relationship Id="rId157" Type="http://schemas.openxmlformats.org/officeDocument/2006/relationships/hyperlink" Target="https://my.zakupivli.pro/remote/dispatcher/state_purchase_view/48254785" TargetMode="External"/><Relationship Id="rId322" Type="http://schemas.openxmlformats.org/officeDocument/2006/relationships/hyperlink" Target="https://my.zakupivli.pro/remote/dispatcher/state_contracting_view/17095219" TargetMode="External"/><Relationship Id="rId364" Type="http://schemas.openxmlformats.org/officeDocument/2006/relationships/hyperlink" Target="https://my.zakupivli.pro/remote/dispatcher/state_contracting_view/15949224" TargetMode="External"/><Relationship Id="rId61" Type="http://schemas.openxmlformats.org/officeDocument/2006/relationships/hyperlink" Target="https://my.zakupivli.pro/remote/dispatcher/state_purchase_view/58156854" TargetMode="External"/><Relationship Id="rId199" Type="http://schemas.openxmlformats.org/officeDocument/2006/relationships/hyperlink" Target="https://my.zakupivli.pro/remote/dispatcher/state_purchase_view/48259220" TargetMode="External"/><Relationship Id="rId571" Type="http://schemas.openxmlformats.org/officeDocument/2006/relationships/hyperlink" Target="https://my.zakupivli.pro/remote/dispatcher/state_purchase_view/23216907" TargetMode="External"/><Relationship Id="rId627" Type="http://schemas.openxmlformats.org/officeDocument/2006/relationships/hyperlink" Target="https://my.zakupivli.pro/remote/dispatcher/state_purchase_view/28176491" TargetMode="External"/><Relationship Id="rId669" Type="http://schemas.openxmlformats.org/officeDocument/2006/relationships/hyperlink" Target="https://my.zakupivli.pro/remote/dispatcher/state_purchase_view/21882514" TargetMode="External"/><Relationship Id="rId19" Type="http://schemas.openxmlformats.org/officeDocument/2006/relationships/hyperlink" Target="https://my.zakupivli.pro/remote/dispatcher/state_purchase_view/65244407" TargetMode="External"/><Relationship Id="rId224" Type="http://schemas.openxmlformats.org/officeDocument/2006/relationships/hyperlink" Target="https://my.zakupivli.pro/remote/dispatcher/state_contracting_view/20787964" TargetMode="External"/><Relationship Id="rId266" Type="http://schemas.openxmlformats.org/officeDocument/2006/relationships/hyperlink" Target="https://my.zakupivli.pro/remote/dispatcher/state_contracting_view/16089706" TargetMode="External"/><Relationship Id="rId431" Type="http://schemas.openxmlformats.org/officeDocument/2006/relationships/hyperlink" Target="https://my.zakupivli.pro/remote/dispatcher/state_purchase_view/37147456" TargetMode="External"/><Relationship Id="rId473" Type="http://schemas.openxmlformats.org/officeDocument/2006/relationships/hyperlink" Target="https://my.zakupivli.pro/remote/dispatcher/state_purchase_view/36531506" TargetMode="External"/><Relationship Id="rId529" Type="http://schemas.openxmlformats.org/officeDocument/2006/relationships/hyperlink" Target="https://my.zakupivli.pro/remote/dispatcher/state_purchase_view/30052964" TargetMode="External"/><Relationship Id="rId680" Type="http://schemas.openxmlformats.org/officeDocument/2006/relationships/hyperlink" Target="https://my.zakupivli.pro/remote/dispatcher/state_contracting_view/6168455" TargetMode="External"/><Relationship Id="rId30" Type="http://schemas.openxmlformats.org/officeDocument/2006/relationships/hyperlink" Target="https://my.zakupivli.pro/remote/dispatcher/state_contracting_view/25964067" TargetMode="External"/><Relationship Id="rId126" Type="http://schemas.openxmlformats.org/officeDocument/2006/relationships/hyperlink" Target="https://my.zakupivli.pro/remote/dispatcher/state_contracting_view/26134377" TargetMode="External"/><Relationship Id="rId168" Type="http://schemas.openxmlformats.org/officeDocument/2006/relationships/hyperlink" Target="https://my.zakupivli.pro/remote/dispatcher/state_contracting_view/21428605" TargetMode="External"/><Relationship Id="rId333" Type="http://schemas.openxmlformats.org/officeDocument/2006/relationships/hyperlink" Target="https://my.zakupivli.pro/remote/dispatcher/state_purchase_view/40015635" TargetMode="External"/><Relationship Id="rId540" Type="http://schemas.openxmlformats.org/officeDocument/2006/relationships/hyperlink" Target="https://my.zakupivli.pro/remote/dispatcher/state_contracting_view/8526341" TargetMode="External"/><Relationship Id="rId72" Type="http://schemas.openxmlformats.org/officeDocument/2006/relationships/hyperlink" Target="https://my.zakupivli.pro/remote/dispatcher/state_contracting_view/25303931" TargetMode="External"/><Relationship Id="rId375" Type="http://schemas.openxmlformats.org/officeDocument/2006/relationships/hyperlink" Target="https://my.zakupivli.pro/remote/dispatcher/state_purchase_view/45574275" TargetMode="External"/><Relationship Id="rId582" Type="http://schemas.openxmlformats.org/officeDocument/2006/relationships/hyperlink" Target="https://my.zakupivli.pro/remote/dispatcher/state_contracting_view/7284644" TargetMode="External"/><Relationship Id="rId638" Type="http://schemas.openxmlformats.org/officeDocument/2006/relationships/hyperlink" Target="https://my.zakupivli.pro/remote/dispatcher/state_contracting_view/9824714" TargetMode="External"/><Relationship Id="rId3" Type="http://schemas.openxmlformats.org/officeDocument/2006/relationships/hyperlink" Target="https://my.zakupivli.pro/remote/dispatcher/state_purchase_view/65291885" TargetMode="External"/><Relationship Id="rId235" Type="http://schemas.openxmlformats.org/officeDocument/2006/relationships/hyperlink" Target="https://my.zakupivli.pro/remote/dispatcher/state_purchase_view/55036899" TargetMode="External"/><Relationship Id="rId277" Type="http://schemas.openxmlformats.org/officeDocument/2006/relationships/hyperlink" Target="https://my.zakupivli.pro/remote/dispatcher/state_purchase_view/46005249" TargetMode="External"/><Relationship Id="rId400" Type="http://schemas.openxmlformats.org/officeDocument/2006/relationships/hyperlink" Target="https://my.zakupivli.pro/remote/dispatcher/state_contracting_view/15854235" TargetMode="External"/><Relationship Id="rId442" Type="http://schemas.openxmlformats.org/officeDocument/2006/relationships/hyperlink" Target="https://my.zakupivli.pro/remote/dispatcher/state_contracting_view/14583164" TargetMode="External"/><Relationship Id="rId484" Type="http://schemas.openxmlformats.org/officeDocument/2006/relationships/hyperlink" Target="https://my.zakupivli.pro/remote/dispatcher/state_contracting_view/14590754" TargetMode="External"/><Relationship Id="rId705" Type="http://schemas.openxmlformats.org/officeDocument/2006/relationships/hyperlink" Target="https://my.zakupivli.pro/remote/dispatcher/state_purchase_view/19485410" TargetMode="External"/><Relationship Id="rId137" Type="http://schemas.openxmlformats.org/officeDocument/2006/relationships/hyperlink" Target="https://my.zakupivli.pro/remote/dispatcher/state_purchase_view/64121380" TargetMode="External"/><Relationship Id="rId302" Type="http://schemas.openxmlformats.org/officeDocument/2006/relationships/hyperlink" Target="https://my.zakupivli.pro/remote/dispatcher/state_contracting_view/17094224" TargetMode="External"/><Relationship Id="rId344" Type="http://schemas.openxmlformats.org/officeDocument/2006/relationships/hyperlink" Target="https://my.zakupivli.pro/remote/dispatcher/state_contracting_view/15240633" TargetMode="External"/><Relationship Id="rId691" Type="http://schemas.openxmlformats.org/officeDocument/2006/relationships/hyperlink" Target="https://my.zakupivli.pro/remote/dispatcher/state_purchase_view/19451160" TargetMode="External"/><Relationship Id="rId41" Type="http://schemas.openxmlformats.org/officeDocument/2006/relationships/hyperlink" Target="https://my.zakupivli.pro/remote/dispatcher/state_purchase_view/64123743" TargetMode="External"/><Relationship Id="rId83" Type="http://schemas.openxmlformats.org/officeDocument/2006/relationships/hyperlink" Target="https://my.zakupivli.pro/remote/dispatcher/state_purchase_view/61213165" TargetMode="External"/><Relationship Id="rId179" Type="http://schemas.openxmlformats.org/officeDocument/2006/relationships/hyperlink" Target="https://my.zakupivli.pro/remote/dispatcher/state_purchase_view/50194263" TargetMode="External"/><Relationship Id="rId386" Type="http://schemas.openxmlformats.org/officeDocument/2006/relationships/hyperlink" Target="https://my.zakupivli.pro/remote/dispatcher/state_contracting_view/16899722" TargetMode="External"/><Relationship Id="rId551" Type="http://schemas.openxmlformats.org/officeDocument/2006/relationships/hyperlink" Target="https://my.zakupivli.pro/remote/dispatcher/state_purchase_view/27049509" TargetMode="External"/><Relationship Id="rId593" Type="http://schemas.openxmlformats.org/officeDocument/2006/relationships/hyperlink" Target="https://my.zakupivli.pro/remote/dispatcher/state_purchase_view/28536939" TargetMode="External"/><Relationship Id="rId607" Type="http://schemas.openxmlformats.org/officeDocument/2006/relationships/hyperlink" Target="https://my.zakupivli.pro/remote/dispatcher/state_purchase_view/33447107" TargetMode="External"/><Relationship Id="rId649" Type="http://schemas.openxmlformats.org/officeDocument/2006/relationships/hyperlink" Target="https://my.zakupivli.pro/remote/dispatcher/state_purchase_view/27074947" TargetMode="External"/><Relationship Id="rId190" Type="http://schemas.openxmlformats.org/officeDocument/2006/relationships/hyperlink" Target="https://my.zakupivli.pro/remote/dispatcher/state_contracting_view/21116501" TargetMode="External"/><Relationship Id="rId204" Type="http://schemas.openxmlformats.org/officeDocument/2006/relationships/hyperlink" Target="https://my.zakupivli.pro/remote/dispatcher/state_contracting_view/21772097" TargetMode="External"/><Relationship Id="rId246" Type="http://schemas.openxmlformats.org/officeDocument/2006/relationships/hyperlink" Target="https://my.zakupivli.pro/remote/dispatcher/state_contracting_view/20284562" TargetMode="External"/><Relationship Id="rId288" Type="http://schemas.openxmlformats.org/officeDocument/2006/relationships/hyperlink" Target="https://my.zakupivli.pro/remote/dispatcher/state_contracting_view/16685402" TargetMode="External"/><Relationship Id="rId411" Type="http://schemas.openxmlformats.org/officeDocument/2006/relationships/hyperlink" Target="https://my.zakupivli.pro/remote/dispatcher/state_purchase_view/38612661" TargetMode="External"/><Relationship Id="rId453" Type="http://schemas.openxmlformats.org/officeDocument/2006/relationships/hyperlink" Target="https://my.zakupivli.pro/remote/dispatcher/state_purchase_view/37296834" TargetMode="External"/><Relationship Id="rId509" Type="http://schemas.openxmlformats.org/officeDocument/2006/relationships/hyperlink" Target="https://my.zakupivli.pro/remote/dispatcher/state_purchase_view/36324976" TargetMode="External"/><Relationship Id="rId660" Type="http://schemas.openxmlformats.org/officeDocument/2006/relationships/hyperlink" Target="https://my.zakupivli.pro/remote/dispatcher/state_contracting_view/8505577" TargetMode="External"/><Relationship Id="rId106" Type="http://schemas.openxmlformats.org/officeDocument/2006/relationships/hyperlink" Target="https://my.zakupivli.pro/remote/dispatcher/state_contracting_view/24579057" TargetMode="External"/><Relationship Id="rId313" Type="http://schemas.openxmlformats.org/officeDocument/2006/relationships/hyperlink" Target="https://my.zakupivli.pro/remote/dispatcher/state_purchase_view/41570617" TargetMode="External"/><Relationship Id="rId495" Type="http://schemas.openxmlformats.org/officeDocument/2006/relationships/hyperlink" Target="https://my.zakupivli.pro/remote/dispatcher/state_purchase_view/38059346" TargetMode="External"/><Relationship Id="rId716" Type="http://schemas.openxmlformats.org/officeDocument/2006/relationships/hyperlink" Target="https://my.zakupivli.pro/remote/dispatcher/state_contracting_view/5588400" TargetMode="External"/><Relationship Id="rId10" Type="http://schemas.openxmlformats.org/officeDocument/2006/relationships/hyperlink" Target="https://my.zakupivli.pro/remote/dispatcher/state_contracting_view/26745598" TargetMode="External"/><Relationship Id="rId52" Type="http://schemas.openxmlformats.org/officeDocument/2006/relationships/hyperlink" Target="https://my.zakupivli.pro/remote/dispatcher/state_contracting_view/24146020" TargetMode="External"/><Relationship Id="rId94" Type="http://schemas.openxmlformats.org/officeDocument/2006/relationships/hyperlink" Target="https://my.zakupivli.pro/remote/dispatcher/state_contracting_view/25223215" TargetMode="External"/><Relationship Id="rId148" Type="http://schemas.openxmlformats.org/officeDocument/2006/relationships/hyperlink" Target="https://my.zakupivli.pro/remote/dispatcher/state_contracting_view/24883113" TargetMode="External"/><Relationship Id="rId355" Type="http://schemas.openxmlformats.org/officeDocument/2006/relationships/hyperlink" Target="https://my.zakupivli.pro/remote/dispatcher/state_purchase_view/43217428" TargetMode="External"/><Relationship Id="rId397" Type="http://schemas.openxmlformats.org/officeDocument/2006/relationships/hyperlink" Target="https://my.zakupivli.pro/remote/dispatcher/state_purchase_view/46341471" TargetMode="External"/><Relationship Id="rId520" Type="http://schemas.openxmlformats.org/officeDocument/2006/relationships/hyperlink" Target="https://my.zakupivli.pro/remote/dispatcher/state_contracting_view/11746605" TargetMode="External"/><Relationship Id="rId562" Type="http://schemas.openxmlformats.org/officeDocument/2006/relationships/hyperlink" Target="https://my.zakupivli.pro/remote/dispatcher/state_contracting_view/8619593" TargetMode="External"/><Relationship Id="rId618" Type="http://schemas.openxmlformats.org/officeDocument/2006/relationships/hyperlink" Target="https://my.zakupivli.pro/remote/dispatcher/state_contracting_view/10742744" TargetMode="External"/><Relationship Id="rId215" Type="http://schemas.openxmlformats.org/officeDocument/2006/relationships/hyperlink" Target="https://my.zakupivli.pro/remote/dispatcher/state_purchase_view/50193576" TargetMode="External"/><Relationship Id="rId257" Type="http://schemas.openxmlformats.org/officeDocument/2006/relationships/hyperlink" Target="https://my.zakupivli.pro/remote/dispatcher/state_purchase_view/52518648" TargetMode="External"/><Relationship Id="rId422" Type="http://schemas.openxmlformats.org/officeDocument/2006/relationships/hyperlink" Target="https://my.zakupivli.pro/remote/dispatcher/state_contracting_view/12486308" TargetMode="External"/><Relationship Id="rId464" Type="http://schemas.openxmlformats.org/officeDocument/2006/relationships/hyperlink" Target="https://my.zakupivli.pro/remote/dispatcher/state_contracting_view/12642386" TargetMode="External"/><Relationship Id="rId299" Type="http://schemas.openxmlformats.org/officeDocument/2006/relationships/hyperlink" Target="https://my.zakupivli.pro/remote/dispatcher/state_purchase_view/40090276" TargetMode="External"/><Relationship Id="rId63" Type="http://schemas.openxmlformats.org/officeDocument/2006/relationships/hyperlink" Target="https://my.zakupivli.pro/remote/dispatcher/state_purchase_view/58623636" TargetMode="External"/><Relationship Id="rId159" Type="http://schemas.openxmlformats.org/officeDocument/2006/relationships/hyperlink" Target="https://my.zakupivli.pro/remote/dispatcher/state_purchase_view/51765998" TargetMode="External"/><Relationship Id="rId366" Type="http://schemas.openxmlformats.org/officeDocument/2006/relationships/hyperlink" Target="https://my.zakupivli.pro/remote/dispatcher/state_contracting_view/15276010" TargetMode="External"/><Relationship Id="rId573" Type="http://schemas.openxmlformats.org/officeDocument/2006/relationships/hyperlink" Target="https://my.zakupivli.pro/remote/dispatcher/state_purchase_view/25826228" TargetMode="External"/><Relationship Id="rId226" Type="http://schemas.openxmlformats.org/officeDocument/2006/relationships/hyperlink" Target="https://my.zakupivli.pro/remote/dispatcher/state_contracting_view/20787598" TargetMode="External"/><Relationship Id="rId433" Type="http://schemas.openxmlformats.org/officeDocument/2006/relationships/hyperlink" Target="https://my.zakupivli.pro/remote/dispatcher/state_purchase_view/37242044" TargetMode="External"/><Relationship Id="rId640" Type="http://schemas.openxmlformats.org/officeDocument/2006/relationships/hyperlink" Target="https://my.zakupivli.pro/remote/dispatcher/state_contracting_view/9821995" TargetMode="External"/><Relationship Id="rId74" Type="http://schemas.openxmlformats.org/officeDocument/2006/relationships/hyperlink" Target="https://my.zakupivli.pro/remote/dispatcher/state_contracting_view/22808196" TargetMode="External"/><Relationship Id="rId377" Type="http://schemas.openxmlformats.org/officeDocument/2006/relationships/hyperlink" Target="https://my.zakupivli.pro/remote/dispatcher/state_purchase_view/45580839" TargetMode="External"/><Relationship Id="rId500" Type="http://schemas.openxmlformats.org/officeDocument/2006/relationships/hyperlink" Target="https://my.zakupivli.pro/remote/dispatcher/state_contracting_view/14318097" TargetMode="External"/><Relationship Id="rId584" Type="http://schemas.openxmlformats.org/officeDocument/2006/relationships/hyperlink" Target="https://my.zakupivli.pro/remote/dispatcher/state_contracting_view/8531009" TargetMode="External"/><Relationship Id="rId5" Type="http://schemas.openxmlformats.org/officeDocument/2006/relationships/hyperlink" Target="https://my.zakupivli.pro/remote/dispatcher/state_purchase_view/65601577" TargetMode="External"/><Relationship Id="rId237" Type="http://schemas.openxmlformats.org/officeDocument/2006/relationships/hyperlink" Target="https://my.zakupivli.pro/remote/dispatcher/state_purchase_view/48264990" TargetMode="External"/><Relationship Id="rId444" Type="http://schemas.openxmlformats.org/officeDocument/2006/relationships/hyperlink" Target="https://my.zakupivli.pro/remote/dispatcher/state_contracting_view/12488485" TargetMode="External"/><Relationship Id="rId651" Type="http://schemas.openxmlformats.org/officeDocument/2006/relationships/hyperlink" Target="https://my.zakupivli.pro/remote/dispatcher/state_purchase_view/27075540" TargetMode="External"/><Relationship Id="rId290" Type="http://schemas.openxmlformats.org/officeDocument/2006/relationships/hyperlink" Target="https://my.zakupivli.pro/remote/dispatcher/state_contracting_view/16653077" TargetMode="External"/><Relationship Id="rId304" Type="http://schemas.openxmlformats.org/officeDocument/2006/relationships/hyperlink" Target="https://my.zakupivli.pro/remote/dispatcher/state_contracting_view/17691173" TargetMode="External"/><Relationship Id="rId388" Type="http://schemas.openxmlformats.org/officeDocument/2006/relationships/hyperlink" Target="https://my.zakupivli.pro/remote/dispatcher/state_contracting_view/16763549" TargetMode="External"/><Relationship Id="rId511" Type="http://schemas.openxmlformats.org/officeDocument/2006/relationships/hyperlink" Target="https://my.zakupivli.pro/remote/dispatcher/state_purchase_view/38061090" TargetMode="External"/><Relationship Id="rId609" Type="http://schemas.openxmlformats.org/officeDocument/2006/relationships/hyperlink" Target="https://my.zakupivli.pro/remote/dispatcher/state_purchase_view/31158661" TargetMode="External"/><Relationship Id="rId85" Type="http://schemas.openxmlformats.org/officeDocument/2006/relationships/hyperlink" Target="https://my.zakupivli.pro/remote/dispatcher/state_purchase_view/64122784" TargetMode="External"/><Relationship Id="rId150" Type="http://schemas.openxmlformats.org/officeDocument/2006/relationships/hyperlink" Target="https://my.zakupivli.pro/remote/dispatcher/state_contracting_view/25296637" TargetMode="External"/><Relationship Id="rId595" Type="http://schemas.openxmlformats.org/officeDocument/2006/relationships/hyperlink" Target="https://my.zakupivli.pro/remote/dispatcher/state_purchase_view/23659573" TargetMode="External"/><Relationship Id="rId248" Type="http://schemas.openxmlformats.org/officeDocument/2006/relationships/hyperlink" Target="https://my.zakupivli.pro/remote/dispatcher/state_contracting_view/18866459" TargetMode="External"/><Relationship Id="rId455" Type="http://schemas.openxmlformats.org/officeDocument/2006/relationships/hyperlink" Target="https://my.zakupivli.pro/remote/dispatcher/state_purchase_view/33577588" TargetMode="External"/><Relationship Id="rId662" Type="http://schemas.openxmlformats.org/officeDocument/2006/relationships/hyperlink" Target="https://my.zakupivli.pro/remote/dispatcher/state_contracting_view/8485286" TargetMode="External"/><Relationship Id="rId12" Type="http://schemas.openxmlformats.org/officeDocument/2006/relationships/hyperlink" Target="https://my.zakupivli.pro/remote/dispatcher/state_contracting_view/26625007" TargetMode="External"/><Relationship Id="rId108" Type="http://schemas.openxmlformats.org/officeDocument/2006/relationships/hyperlink" Target="https://my.zakupivli.pro/remote/dispatcher/state_contracting_view/25511649" TargetMode="External"/><Relationship Id="rId315" Type="http://schemas.openxmlformats.org/officeDocument/2006/relationships/hyperlink" Target="https://my.zakupivli.pro/remote/dispatcher/state_purchase_view/42837317" TargetMode="External"/><Relationship Id="rId522" Type="http://schemas.openxmlformats.org/officeDocument/2006/relationships/hyperlink" Target="https://my.zakupivli.pro/remote/dispatcher/state_contracting_view/13045346" TargetMode="External"/><Relationship Id="rId96" Type="http://schemas.openxmlformats.org/officeDocument/2006/relationships/hyperlink" Target="https://my.zakupivli.pro/remote/dispatcher/state_contracting_view/25921168" TargetMode="External"/><Relationship Id="rId161" Type="http://schemas.openxmlformats.org/officeDocument/2006/relationships/hyperlink" Target="https://my.zakupivli.pro/remote/dispatcher/state_purchase_view/50192907" TargetMode="External"/><Relationship Id="rId399" Type="http://schemas.openxmlformats.org/officeDocument/2006/relationships/hyperlink" Target="https://my.zakupivli.pro/remote/dispatcher/state_purchase_view/41345810" TargetMode="External"/><Relationship Id="rId259" Type="http://schemas.openxmlformats.org/officeDocument/2006/relationships/hyperlink" Target="https://my.zakupivli.pro/remote/dispatcher/state_purchase_view/54614734" TargetMode="External"/><Relationship Id="rId466" Type="http://schemas.openxmlformats.org/officeDocument/2006/relationships/hyperlink" Target="https://my.zakupivli.pro/remote/dispatcher/state_contracting_view/14266621" TargetMode="External"/><Relationship Id="rId673" Type="http://schemas.openxmlformats.org/officeDocument/2006/relationships/hyperlink" Target="https://my.zakupivli.pro/remote/dispatcher/state_purchase_view/19567926" TargetMode="External"/><Relationship Id="rId23" Type="http://schemas.openxmlformats.org/officeDocument/2006/relationships/hyperlink" Target="https://my.zakupivli.pro/remote/dispatcher/state_purchase_view/65290549" TargetMode="External"/><Relationship Id="rId119" Type="http://schemas.openxmlformats.org/officeDocument/2006/relationships/hyperlink" Target="https://my.zakupivli.pro/remote/dispatcher/state_purchase_view/62605466" TargetMode="External"/><Relationship Id="rId326" Type="http://schemas.openxmlformats.org/officeDocument/2006/relationships/hyperlink" Target="https://my.zakupivli.pro/remote/dispatcher/state_contracting_view/15540852" TargetMode="External"/><Relationship Id="rId533" Type="http://schemas.openxmlformats.org/officeDocument/2006/relationships/hyperlink" Target="https://my.zakupivli.pro/remote/dispatcher/state_purchase_view/29280212" TargetMode="External"/><Relationship Id="rId172" Type="http://schemas.openxmlformats.org/officeDocument/2006/relationships/hyperlink" Target="https://my.zakupivli.pro/remote/dispatcher/state_contracting_view/20283942" TargetMode="External"/><Relationship Id="rId477" Type="http://schemas.openxmlformats.org/officeDocument/2006/relationships/hyperlink" Target="https://my.zakupivli.pro/remote/dispatcher/state_purchase_view/34316442" TargetMode="External"/><Relationship Id="rId600" Type="http://schemas.openxmlformats.org/officeDocument/2006/relationships/hyperlink" Target="https://my.zakupivli.pro/remote/dispatcher/state_contracting_view/10166628" TargetMode="External"/><Relationship Id="rId684" Type="http://schemas.openxmlformats.org/officeDocument/2006/relationships/hyperlink" Target="https://my.zakupivli.pro/remote/dispatcher/state_contracting_view/6322137" TargetMode="External"/><Relationship Id="rId337" Type="http://schemas.openxmlformats.org/officeDocument/2006/relationships/hyperlink" Target="https://my.zakupivli.pro/remote/dispatcher/state_purchase_view/44121220" TargetMode="External"/><Relationship Id="rId34" Type="http://schemas.openxmlformats.org/officeDocument/2006/relationships/hyperlink" Target="https://my.zakupivli.pro/remote/dispatcher/state_contracting_view/24379721" TargetMode="External"/><Relationship Id="rId544" Type="http://schemas.openxmlformats.org/officeDocument/2006/relationships/hyperlink" Target="https://my.zakupivli.pro/remote/dispatcher/state_contracting_view/8685191" TargetMode="External"/><Relationship Id="rId183" Type="http://schemas.openxmlformats.org/officeDocument/2006/relationships/hyperlink" Target="https://my.zakupivli.pro/remote/dispatcher/state_purchase_view/53910551" TargetMode="External"/><Relationship Id="rId390" Type="http://schemas.openxmlformats.org/officeDocument/2006/relationships/hyperlink" Target="https://my.zakupivli.pro/remote/dispatcher/state_contracting_view/17071511" TargetMode="External"/><Relationship Id="rId404" Type="http://schemas.openxmlformats.org/officeDocument/2006/relationships/hyperlink" Target="https://my.zakupivli.pro/remote/dispatcher/state_contracting_view/17899283" TargetMode="External"/><Relationship Id="rId611" Type="http://schemas.openxmlformats.org/officeDocument/2006/relationships/hyperlink" Target="https://my.zakupivli.pro/remote/dispatcher/state_purchase_view/31157652" TargetMode="External"/><Relationship Id="rId250" Type="http://schemas.openxmlformats.org/officeDocument/2006/relationships/hyperlink" Target="https://my.zakupivli.pro/remote/dispatcher/state_contracting_view/21494083" TargetMode="External"/><Relationship Id="rId488" Type="http://schemas.openxmlformats.org/officeDocument/2006/relationships/hyperlink" Target="https://my.zakupivli.pro/remote/dispatcher/state_contracting_view/14510888" TargetMode="External"/><Relationship Id="rId695" Type="http://schemas.openxmlformats.org/officeDocument/2006/relationships/hyperlink" Target="https://my.zakupivli.pro/remote/dispatcher/state_purchase_view/20561660" TargetMode="External"/><Relationship Id="rId709" Type="http://schemas.openxmlformats.org/officeDocument/2006/relationships/hyperlink" Target="https://my.zakupivli.pro/remote/dispatcher/state_purchase_view/20198481" TargetMode="External"/><Relationship Id="rId45" Type="http://schemas.openxmlformats.org/officeDocument/2006/relationships/hyperlink" Target="https://my.zakupivli.pro/remote/dispatcher/state_purchase_view/58625085" TargetMode="External"/><Relationship Id="rId110" Type="http://schemas.openxmlformats.org/officeDocument/2006/relationships/hyperlink" Target="https://my.zakupivli.pro/remote/dispatcher/state_contracting_view/25589821" TargetMode="External"/><Relationship Id="rId348" Type="http://schemas.openxmlformats.org/officeDocument/2006/relationships/hyperlink" Target="https://my.zakupivli.pro/remote/dispatcher/state_contracting_view/17898674" TargetMode="External"/><Relationship Id="rId555" Type="http://schemas.openxmlformats.org/officeDocument/2006/relationships/hyperlink" Target="https://my.zakupivli.pro/remote/dispatcher/state_purchase_view/23209071" TargetMode="External"/><Relationship Id="rId194" Type="http://schemas.openxmlformats.org/officeDocument/2006/relationships/hyperlink" Target="https://my.zakupivli.pro/remote/dispatcher/state_contracting_view/20256918" TargetMode="External"/><Relationship Id="rId208" Type="http://schemas.openxmlformats.org/officeDocument/2006/relationships/hyperlink" Target="https://my.zakupivli.pro/remote/dispatcher/state_contracting_view/21382291" TargetMode="External"/><Relationship Id="rId415" Type="http://schemas.openxmlformats.org/officeDocument/2006/relationships/hyperlink" Target="https://my.zakupivli.pro/remote/dispatcher/state_purchase_view/38458987" TargetMode="External"/><Relationship Id="rId622" Type="http://schemas.openxmlformats.org/officeDocument/2006/relationships/hyperlink" Target="https://my.zakupivli.pro/remote/dispatcher/state_contracting_view/10573682" TargetMode="External"/><Relationship Id="rId261" Type="http://schemas.openxmlformats.org/officeDocument/2006/relationships/hyperlink" Target="https://my.zakupivli.pro/remote/dispatcher/state_purchase_view/38287935" TargetMode="External"/><Relationship Id="rId499" Type="http://schemas.openxmlformats.org/officeDocument/2006/relationships/hyperlink" Target="https://my.zakupivli.pro/remote/dispatcher/state_purchase_view/38062107" TargetMode="External"/><Relationship Id="rId56" Type="http://schemas.openxmlformats.org/officeDocument/2006/relationships/hyperlink" Target="https://my.zakupivli.pro/remote/dispatcher/state_contracting_view/26123015" TargetMode="External"/><Relationship Id="rId359" Type="http://schemas.openxmlformats.org/officeDocument/2006/relationships/hyperlink" Target="https://my.zakupivli.pro/remote/dispatcher/state_purchase_view/43218353" TargetMode="External"/><Relationship Id="rId566" Type="http://schemas.openxmlformats.org/officeDocument/2006/relationships/hyperlink" Target="https://my.zakupivli.pro/remote/dispatcher/state_contracting_view/7362895" TargetMode="External"/><Relationship Id="rId121" Type="http://schemas.openxmlformats.org/officeDocument/2006/relationships/hyperlink" Target="https://my.zakupivli.pro/remote/dispatcher/state_purchase_view/61936561" TargetMode="External"/><Relationship Id="rId219" Type="http://schemas.openxmlformats.org/officeDocument/2006/relationships/hyperlink" Target="https://my.zakupivli.pro/remote/dispatcher/state_purchase_view/51764861" TargetMode="External"/><Relationship Id="rId426" Type="http://schemas.openxmlformats.org/officeDocument/2006/relationships/hyperlink" Target="https://my.zakupivli.pro/remote/dispatcher/state_contracting_view/13917254" TargetMode="External"/><Relationship Id="rId633" Type="http://schemas.openxmlformats.org/officeDocument/2006/relationships/hyperlink" Target="https://my.zakupivli.pro/remote/dispatcher/state_purchase_view/28540133" TargetMode="External"/><Relationship Id="rId67" Type="http://schemas.openxmlformats.org/officeDocument/2006/relationships/hyperlink" Target="https://my.zakupivli.pro/remote/dispatcher/state_purchase_view/61392387" TargetMode="External"/><Relationship Id="rId272" Type="http://schemas.openxmlformats.org/officeDocument/2006/relationships/hyperlink" Target="https://my.zakupivli.pro/remote/dispatcher/state_contracting_view/17805782" TargetMode="External"/><Relationship Id="rId577" Type="http://schemas.openxmlformats.org/officeDocument/2006/relationships/hyperlink" Target="https://my.zakupivli.pro/remote/dispatcher/state_purchase_view/27741410" TargetMode="External"/><Relationship Id="rId700" Type="http://schemas.openxmlformats.org/officeDocument/2006/relationships/hyperlink" Target="https://my.zakupivli.pro/remote/dispatcher/state_contracting_view/5614551" TargetMode="External"/><Relationship Id="rId132" Type="http://schemas.openxmlformats.org/officeDocument/2006/relationships/hyperlink" Target="https://my.zakupivli.pro/remote/dispatcher/state_contracting_view/22809875" TargetMode="External"/><Relationship Id="rId437" Type="http://schemas.openxmlformats.org/officeDocument/2006/relationships/hyperlink" Target="https://my.zakupivli.pro/remote/dispatcher/state_purchase_view/38447959" TargetMode="External"/><Relationship Id="rId644" Type="http://schemas.openxmlformats.org/officeDocument/2006/relationships/hyperlink" Target="https://my.zakupivli.pro/remote/dispatcher/state_contracting_view/9824754" TargetMode="External"/><Relationship Id="rId283" Type="http://schemas.openxmlformats.org/officeDocument/2006/relationships/hyperlink" Target="https://my.zakupivli.pro/remote/dispatcher/state_purchase_view/40016852" TargetMode="External"/><Relationship Id="rId490" Type="http://schemas.openxmlformats.org/officeDocument/2006/relationships/hyperlink" Target="https://my.zakupivli.pro/remote/dispatcher/state_contracting_view/14397272" TargetMode="External"/><Relationship Id="rId504" Type="http://schemas.openxmlformats.org/officeDocument/2006/relationships/hyperlink" Target="https://my.zakupivli.pro/remote/dispatcher/state_contracting_view/13915301" TargetMode="External"/><Relationship Id="rId711" Type="http://schemas.openxmlformats.org/officeDocument/2006/relationships/hyperlink" Target="https://my.zakupivli.pro/remote/dispatcher/state_purchase_view/21017014" TargetMode="External"/><Relationship Id="rId78" Type="http://schemas.openxmlformats.org/officeDocument/2006/relationships/hyperlink" Target="https://my.zakupivli.pro/remote/dispatcher/state_contracting_view/23997458" TargetMode="External"/><Relationship Id="rId143" Type="http://schemas.openxmlformats.org/officeDocument/2006/relationships/hyperlink" Target="https://my.zakupivli.pro/remote/dispatcher/state_purchase_view/56431932" TargetMode="External"/><Relationship Id="rId350" Type="http://schemas.openxmlformats.org/officeDocument/2006/relationships/hyperlink" Target="https://my.zakupivli.pro/remote/dispatcher/state_contracting_view/18450258" TargetMode="External"/><Relationship Id="rId588" Type="http://schemas.openxmlformats.org/officeDocument/2006/relationships/hyperlink" Target="https://my.zakupivli.pro/remote/dispatcher/state_contracting_view/7311001" TargetMode="External"/><Relationship Id="rId9" Type="http://schemas.openxmlformats.org/officeDocument/2006/relationships/hyperlink" Target="https://my.zakupivli.pro/remote/dispatcher/state_purchase_view/65527282" TargetMode="External"/><Relationship Id="rId210" Type="http://schemas.openxmlformats.org/officeDocument/2006/relationships/hyperlink" Target="https://my.zakupivli.pro/remote/dispatcher/state_contracting_view/20334119" TargetMode="External"/><Relationship Id="rId448" Type="http://schemas.openxmlformats.org/officeDocument/2006/relationships/hyperlink" Target="https://my.zakupivli.pro/remote/dispatcher/state_contracting_view/13732652" TargetMode="External"/><Relationship Id="rId655" Type="http://schemas.openxmlformats.org/officeDocument/2006/relationships/hyperlink" Target="https://my.zakupivli.pro/remote/dispatcher/state_purchase_view/27076058" TargetMode="External"/><Relationship Id="rId294" Type="http://schemas.openxmlformats.org/officeDocument/2006/relationships/hyperlink" Target="https://my.zakupivli.pro/remote/dispatcher/state_contracting_view/16686187" TargetMode="External"/><Relationship Id="rId308" Type="http://schemas.openxmlformats.org/officeDocument/2006/relationships/hyperlink" Target="https://my.zakupivli.pro/remote/dispatcher/state_contracting_view/17717434" TargetMode="External"/><Relationship Id="rId515" Type="http://schemas.openxmlformats.org/officeDocument/2006/relationships/hyperlink" Target="https://my.zakupivli.pro/remote/dispatcher/state_purchase_view/36324385" TargetMode="External"/><Relationship Id="rId722" Type="http://schemas.openxmlformats.org/officeDocument/2006/relationships/hyperlink" Target="https://my.zakupivli.pro/remote/dispatcher/state_contracting_view/6316298" TargetMode="External"/><Relationship Id="rId89" Type="http://schemas.openxmlformats.org/officeDocument/2006/relationships/hyperlink" Target="https://my.zakupivli.pro/remote/dispatcher/state_purchase_view/63561197" TargetMode="External"/><Relationship Id="rId154" Type="http://schemas.openxmlformats.org/officeDocument/2006/relationships/hyperlink" Target="https://my.zakupivli.pro/remote/dispatcher/state_contracting_view/22797449" TargetMode="External"/><Relationship Id="rId361" Type="http://schemas.openxmlformats.org/officeDocument/2006/relationships/hyperlink" Target="https://my.zakupivli.pro/remote/dispatcher/state_purchase_view/46757171" TargetMode="External"/><Relationship Id="rId599" Type="http://schemas.openxmlformats.org/officeDocument/2006/relationships/hyperlink" Target="https://my.zakupivli.pro/remote/dispatcher/state_purchase_view/29279185" TargetMode="External"/><Relationship Id="rId459" Type="http://schemas.openxmlformats.org/officeDocument/2006/relationships/hyperlink" Target="https://my.zakupivli.pro/remote/dispatcher/state_purchase_view/34343688" TargetMode="External"/><Relationship Id="rId666" Type="http://schemas.openxmlformats.org/officeDocument/2006/relationships/hyperlink" Target="https://my.zakupivli.pro/remote/dispatcher/state_contracting_view/7450977" TargetMode="External"/><Relationship Id="rId16" Type="http://schemas.openxmlformats.org/officeDocument/2006/relationships/hyperlink" Target="https://my.zakupivli.pro/remote/dispatcher/state_contracting_view/26624446" TargetMode="External"/><Relationship Id="rId221" Type="http://schemas.openxmlformats.org/officeDocument/2006/relationships/hyperlink" Target="https://my.zakupivli.pro/remote/dispatcher/state_purchase_view/52518156" TargetMode="External"/><Relationship Id="rId319" Type="http://schemas.openxmlformats.org/officeDocument/2006/relationships/hyperlink" Target="https://my.zakupivli.pro/remote/dispatcher/state_purchase_view/44121978" TargetMode="External"/><Relationship Id="rId526" Type="http://schemas.openxmlformats.org/officeDocument/2006/relationships/hyperlink" Target="https://my.zakupivli.pro/remote/dispatcher/state_contracting_view/13045075" TargetMode="External"/><Relationship Id="rId165" Type="http://schemas.openxmlformats.org/officeDocument/2006/relationships/hyperlink" Target="https://my.zakupivli.pro/remote/dispatcher/state_purchase_view/54643929" TargetMode="External"/><Relationship Id="rId372" Type="http://schemas.openxmlformats.org/officeDocument/2006/relationships/hyperlink" Target="https://my.zakupivli.pro/remote/dispatcher/state_contracting_view/17095469" TargetMode="External"/><Relationship Id="rId677" Type="http://schemas.openxmlformats.org/officeDocument/2006/relationships/hyperlink" Target="https://my.zakupivli.pro/remote/dispatcher/state_purchase_view/19482052" TargetMode="External"/><Relationship Id="rId232" Type="http://schemas.openxmlformats.org/officeDocument/2006/relationships/hyperlink" Target="https://my.zakupivli.pro/remote/dispatcher/state_contracting_view/21771993" TargetMode="External"/><Relationship Id="rId27" Type="http://schemas.openxmlformats.org/officeDocument/2006/relationships/hyperlink" Target="https://my.zakupivli.pro/remote/dispatcher/state_purchase_view/58623132" TargetMode="External"/><Relationship Id="rId537" Type="http://schemas.openxmlformats.org/officeDocument/2006/relationships/hyperlink" Target="https://my.zakupivli.pro/remote/dispatcher/state_purchase_view/25734927" TargetMode="External"/><Relationship Id="rId80" Type="http://schemas.openxmlformats.org/officeDocument/2006/relationships/hyperlink" Target="https://my.zakupivli.pro/remote/dispatcher/state_contracting_view/24012188" TargetMode="External"/><Relationship Id="rId176" Type="http://schemas.openxmlformats.org/officeDocument/2006/relationships/hyperlink" Target="https://my.zakupivli.pro/remote/dispatcher/state_contracting_view/20333386" TargetMode="External"/><Relationship Id="rId383" Type="http://schemas.openxmlformats.org/officeDocument/2006/relationships/hyperlink" Target="https://my.zakupivli.pro/remote/dispatcher/state_purchase_view/40016403" TargetMode="External"/><Relationship Id="rId590" Type="http://schemas.openxmlformats.org/officeDocument/2006/relationships/hyperlink" Target="https://my.zakupivli.pro/remote/dispatcher/state_contracting_view/7313147" TargetMode="External"/><Relationship Id="rId604" Type="http://schemas.openxmlformats.org/officeDocument/2006/relationships/hyperlink" Target="https://my.zakupivli.pro/remote/dispatcher/state_contracting_view/11869214" TargetMode="External"/><Relationship Id="rId243" Type="http://schemas.openxmlformats.org/officeDocument/2006/relationships/hyperlink" Target="https://my.zakupivli.pro/remote/dispatcher/state_purchase_view/50303859" TargetMode="External"/><Relationship Id="rId450" Type="http://schemas.openxmlformats.org/officeDocument/2006/relationships/hyperlink" Target="https://my.zakupivli.pro/remote/dispatcher/state_contracting_view/13495784" TargetMode="External"/><Relationship Id="rId688" Type="http://schemas.openxmlformats.org/officeDocument/2006/relationships/hyperlink" Target="https://my.zakupivli.pro/remote/dispatcher/state_contracting_view/6459812" TargetMode="External"/><Relationship Id="rId38" Type="http://schemas.openxmlformats.org/officeDocument/2006/relationships/hyperlink" Target="https://my.zakupivli.pro/remote/dispatcher/state_contracting_view/26326158" TargetMode="External"/><Relationship Id="rId103" Type="http://schemas.openxmlformats.org/officeDocument/2006/relationships/hyperlink" Target="https://my.zakupivli.pro/remote/dispatcher/state_purchase_view/60507792" TargetMode="External"/><Relationship Id="rId310" Type="http://schemas.openxmlformats.org/officeDocument/2006/relationships/hyperlink" Target="https://my.zakupivli.pro/remote/dispatcher/state_contracting_view/17897684" TargetMode="External"/><Relationship Id="rId548" Type="http://schemas.openxmlformats.org/officeDocument/2006/relationships/hyperlink" Target="https://my.zakupivli.pro/remote/dispatcher/state_contracting_view/9840827" TargetMode="External"/><Relationship Id="rId91" Type="http://schemas.openxmlformats.org/officeDocument/2006/relationships/hyperlink" Target="https://my.zakupivli.pro/remote/dispatcher/state_purchase_view/64020787" TargetMode="External"/><Relationship Id="rId187" Type="http://schemas.openxmlformats.org/officeDocument/2006/relationships/hyperlink" Target="https://my.zakupivli.pro/remote/dispatcher/state_purchase_view/51079531" TargetMode="External"/><Relationship Id="rId394" Type="http://schemas.openxmlformats.org/officeDocument/2006/relationships/hyperlink" Target="https://my.zakupivli.pro/remote/dispatcher/state_contracting_view/15948937" TargetMode="External"/><Relationship Id="rId408" Type="http://schemas.openxmlformats.org/officeDocument/2006/relationships/hyperlink" Target="https://my.zakupivli.pro/remote/dispatcher/state_contracting_view/17765305" TargetMode="External"/><Relationship Id="rId615" Type="http://schemas.openxmlformats.org/officeDocument/2006/relationships/hyperlink" Target="https://my.zakupivli.pro/remote/dispatcher/state_purchase_view/30773718" TargetMode="External"/><Relationship Id="rId254" Type="http://schemas.openxmlformats.org/officeDocument/2006/relationships/hyperlink" Target="https://my.zakupivli.pro/remote/dispatcher/state_contracting_view/19862597" TargetMode="External"/><Relationship Id="rId699" Type="http://schemas.openxmlformats.org/officeDocument/2006/relationships/hyperlink" Target="https://my.zakupivli.pro/remote/dispatcher/state_purchase_view/19540853" TargetMode="External"/><Relationship Id="rId49" Type="http://schemas.openxmlformats.org/officeDocument/2006/relationships/hyperlink" Target="https://my.zakupivli.pro/remote/dispatcher/state_purchase_view/58824603" TargetMode="External"/><Relationship Id="rId114" Type="http://schemas.openxmlformats.org/officeDocument/2006/relationships/hyperlink" Target="https://my.zakupivli.pro/remote/dispatcher/state_contracting_view/24884037" TargetMode="External"/><Relationship Id="rId461" Type="http://schemas.openxmlformats.org/officeDocument/2006/relationships/hyperlink" Target="https://my.zakupivli.pro/remote/dispatcher/state_purchase_view/34319014" TargetMode="External"/><Relationship Id="rId559" Type="http://schemas.openxmlformats.org/officeDocument/2006/relationships/hyperlink" Target="https://my.zakupivli.pro/remote/dispatcher/state_purchase_view/32679614" TargetMode="External"/><Relationship Id="rId198" Type="http://schemas.openxmlformats.org/officeDocument/2006/relationships/hyperlink" Target="https://my.zakupivli.pro/remote/dispatcher/state_contracting_view/22395879" TargetMode="External"/><Relationship Id="rId321" Type="http://schemas.openxmlformats.org/officeDocument/2006/relationships/hyperlink" Target="https://my.zakupivli.pro/remote/dispatcher/state_purchase_view/44121439" TargetMode="External"/><Relationship Id="rId419" Type="http://schemas.openxmlformats.org/officeDocument/2006/relationships/hyperlink" Target="https://my.zakupivli.pro/remote/dispatcher/state_purchase_view/34345913" TargetMode="External"/><Relationship Id="rId626" Type="http://schemas.openxmlformats.org/officeDocument/2006/relationships/hyperlink" Target="https://my.zakupivli.pro/remote/dispatcher/state_contracting_view/10339530" TargetMode="External"/><Relationship Id="rId265" Type="http://schemas.openxmlformats.org/officeDocument/2006/relationships/hyperlink" Target="https://my.zakupivli.pro/remote/dispatcher/state_purchase_view/41898076" TargetMode="External"/><Relationship Id="rId472" Type="http://schemas.openxmlformats.org/officeDocument/2006/relationships/hyperlink" Target="https://my.zakupivli.pro/remote/dispatcher/state_contracting_view/12560135" TargetMode="External"/><Relationship Id="rId125" Type="http://schemas.openxmlformats.org/officeDocument/2006/relationships/hyperlink" Target="https://my.zakupivli.pro/remote/dispatcher/state_purchase_view/64123321" TargetMode="External"/><Relationship Id="rId332" Type="http://schemas.openxmlformats.org/officeDocument/2006/relationships/hyperlink" Target="https://my.zakupivli.pro/remote/dispatcher/state_contracting_view/15230138" TargetMode="External"/><Relationship Id="rId637" Type="http://schemas.openxmlformats.org/officeDocument/2006/relationships/hyperlink" Target="https://my.zakupivli.pro/remote/dispatcher/state_purchase_view/28545286" TargetMode="External"/><Relationship Id="rId276" Type="http://schemas.openxmlformats.org/officeDocument/2006/relationships/hyperlink" Target="https://my.zakupivli.pro/remote/dispatcher/state_contracting_view/17463803" TargetMode="External"/><Relationship Id="rId483" Type="http://schemas.openxmlformats.org/officeDocument/2006/relationships/hyperlink" Target="https://my.zakupivli.pro/remote/dispatcher/state_purchase_view/38630153" TargetMode="External"/><Relationship Id="rId690" Type="http://schemas.openxmlformats.org/officeDocument/2006/relationships/hyperlink" Target="https://my.zakupivli.pro/remote/dispatcher/state_contracting_view/5621210" TargetMode="External"/><Relationship Id="rId704" Type="http://schemas.openxmlformats.org/officeDocument/2006/relationships/hyperlink" Target="https://my.zakupivli.pro/remote/dispatcher/state_contracting_view/6457441" TargetMode="External"/><Relationship Id="rId40" Type="http://schemas.openxmlformats.org/officeDocument/2006/relationships/hyperlink" Target="https://my.zakupivli.pro/remote/dispatcher/state_contracting_view/26132973" TargetMode="External"/><Relationship Id="rId136" Type="http://schemas.openxmlformats.org/officeDocument/2006/relationships/hyperlink" Target="https://my.zakupivli.pro/remote/dispatcher/state_contracting_view/26133269" TargetMode="External"/><Relationship Id="rId343" Type="http://schemas.openxmlformats.org/officeDocument/2006/relationships/hyperlink" Target="https://my.zakupivli.pro/remote/dispatcher/state_purchase_view/40013836" TargetMode="External"/><Relationship Id="rId550" Type="http://schemas.openxmlformats.org/officeDocument/2006/relationships/hyperlink" Target="https://my.zakupivli.pro/remote/dispatcher/state_contracting_view/9064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367"/>
  <sheetViews>
    <sheetView tabSelected="1" topLeftCell="C1" workbookViewId="0">
      <pane ySplit="4" topLeftCell="A5" activePane="bottomLeft" state="frozen"/>
      <selection pane="bottomLeft" activeCell="G3" sqref="G3"/>
    </sheetView>
  </sheetViews>
  <sheetFormatPr defaultColWidth="11.42578125" defaultRowHeight="15" x14ac:dyDescent="0.25"/>
  <cols>
    <col min="1" max="1" width="5"/>
    <col min="2" max="3" width="25"/>
    <col min="4" max="4" width="36.42578125" customWidth="1"/>
    <col min="5" max="7" width="35"/>
    <col min="8" max="9" width="30"/>
    <col min="10" max="12" width="15"/>
    <col min="13" max="16" width="10"/>
  </cols>
  <sheetData>
    <row r="1" spans="1:16" x14ac:dyDescent="0.25">
      <c r="A1" s="1"/>
      <c r="G1" s="7" t="s">
        <v>1372</v>
      </c>
      <c r="H1" s="7"/>
      <c r="I1" s="7"/>
    </row>
    <row r="2" spans="1:16" x14ac:dyDescent="0.25">
      <c r="A2" s="2"/>
      <c r="G2" s="7" t="s">
        <v>1373</v>
      </c>
      <c r="H2" s="7"/>
      <c r="I2" s="7"/>
    </row>
    <row r="3" spans="1:16" ht="15.75" thickBot="1" x14ac:dyDescent="0.3"/>
    <row r="4" spans="1:16" ht="65.25" thickBot="1" x14ac:dyDescent="0.3">
      <c r="A4" s="3" t="s">
        <v>1368</v>
      </c>
      <c r="B4" s="3" t="s">
        <v>807</v>
      </c>
      <c r="C4" s="3" t="s">
        <v>662</v>
      </c>
      <c r="D4" s="3" t="s">
        <v>806</v>
      </c>
      <c r="E4" s="3" t="s">
        <v>1326</v>
      </c>
      <c r="F4" s="3" t="s">
        <v>1192</v>
      </c>
      <c r="G4" s="3" t="s">
        <v>948</v>
      </c>
      <c r="H4" s="3" t="s">
        <v>1312</v>
      </c>
      <c r="I4" s="3" t="s">
        <v>1058</v>
      </c>
      <c r="J4" s="3" t="s">
        <v>802</v>
      </c>
      <c r="K4" s="3" t="s">
        <v>990</v>
      </c>
      <c r="L4" s="3" t="s">
        <v>1253</v>
      </c>
      <c r="M4" s="3" t="s">
        <v>893</v>
      </c>
      <c r="N4" s="3" t="s">
        <v>872</v>
      </c>
      <c r="O4" s="3" t="s">
        <v>871</v>
      </c>
      <c r="P4" s="3" t="s">
        <v>1243</v>
      </c>
    </row>
    <row r="5" spans="1:16" x14ac:dyDescent="0.25">
      <c r="A5" s="4">
        <v>1</v>
      </c>
      <c r="B5" s="2" t="str">
        <f>HYPERLINK("https://my.zakupivli.pro/remote/dispatcher/state_purchase_view/65246752", "UA-2026-01-14-007102-a")</f>
        <v>UA-2026-01-14-007102-a</v>
      </c>
      <c r="C5" s="2" t="str">
        <f>HYPERLINK("https://my.zakupivli.pro/remote/dispatcher/state_contracting_view/26626651", "UA-2026-01-14-007102-a-a1")</f>
        <v>UA-2026-01-14-007102-a-a1</v>
      </c>
      <c r="D5" s="1" t="s">
        <v>362</v>
      </c>
      <c r="E5" s="1" t="s">
        <v>6</v>
      </c>
      <c r="F5" s="1" t="s">
        <v>5</v>
      </c>
      <c r="G5" s="1" t="s">
        <v>521</v>
      </c>
      <c r="H5" s="1" t="s">
        <v>894</v>
      </c>
      <c r="I5" s="1" t="s">
        <v>920</v>
      </c>
      <c r="J5" s="1" t="s">
        <v>37</v>
      </c>
      <c r="K5" s="1" t="s">
        <v>627</v>
      </c>
      <c r="L5" s="5">
        <v>17622.62</v>
      </c>
      <c r="M5" s="1" t="s">
        <v>1293</v>
      </c>
      <c r="N5" s="6">
        <v>46036</v>
      </c>
      <c r="O5" s="6">
        <v>46387</v>
      </c>
      <c r="P5" s="1" t="s">
        <v>1356</v>
      </c>
    </row>
    <row r="6" spans="1:16" x14ac:dyDescent="0.25">
      <c r="A6" s="4">
        <v>2</v>
      </c>
      <c r="B6" s="2" t="str">
        <f>HYPERLINK("https://my.zakupivli.pro/remote/dispatcher/state_purchase_view/65291885", "UA-2026-01-15-012177-a")</f>
        <v>UA-2026-01-15-012177-a</v>
      </c>
      <c r="C6" s="2" t="str">
        <f>HYPERLINK("https://my.zakupivli.pro/remote/dispatcher/state_contracting_view/26645627", "UA-2026-01-15-012177-a-a1")</f>
        <v>UA-2026-01-15-012177-a-a1</v>
      </c>
      <c r="D6" s="1" t="s">
        <v>131</v>
      </c>
      <c r="E6" s="1" t="s">
        <v>1132</v>
      </c>
      <c r="F6" s="1" t="s">
        <v>1132</v>
      </c>
      <c r="G6" s="1" t="s">
        <v>632</v>
      </c>
      <c r="H6" s="1" t="s">
        <v>894</v>
      </c>
      <c r="I6" s="1" t="s">
        <v>1019</v>
      </c>
      <c r="J6" s="1" t="s">
        <v>36</v>
      </c>
      <c r="K6" s="1" t="s">
        <v>668</v>
      </c>
      <c r="L6" s="5">
        <v>18123.61</v>
      </c>
      <c r="M6" s="1" t="s">
        <v>1293</v>
      </c>
      <c r="N6" s="6">
        <v>46037</v>
      </c>
      <c r="O6" s="6">
        <v>46387</v>
      </c>
      <c r="P6" s="1" t="s">
        <v>1356</v>
      </c>
    </row>
    <row r="7" spans="1:16" x14ac:dyDescent="0.25">
      <c r="A7" s="4">
        <v>3</v>
      </c>
      <c r="B7" s="2" t="str">
        <f>HYPERLINK("https://my.zakupivli.pro/remote/dispatcher/state_purchase_view/65601577", "UA-2026-01-26-015221-a")</f>
        <v>UA-2026-01-26-015221-a</v>
      </c>
      <c r="C7" s="2" t="str">
        <f>HYPERLINK("https://my.zakupivli.pro/remote/dispatcher/state_contracting_view/26777427", "UA-2026-01-26-015221-a-b1")</f>
        <v>UA-2026-01-26-015221-a-b1</v>
      </c>
      <c r="D7" s="1" t="s">
        <v>779</v>
      </c>
      <c r="E7" s="1" t="s">
        <v>1089</v>
      </c>
      <c r="F7" s="1" t="s">
        <v>1089</v>
      </c>
      <c r="G7" s="1" t="s">
        <v>520</v>
      </c>
      <c r="H7" s="1" t="s">
        <v>894</v>
      </c>
      <c r="I7" s="1" t="s">
        <v>820</v>
      </c>
      <c r="J7" s="1" t="s">
        <v>154</v>
      </c>
      <c r="K7" s="1" t="s">
        <v>94</v>
      </c>
      <c r="L7" s="5">
        <v>4619.95</v>
      </c>
      <c r="M7" s="1" t="s">
        <v>1293</v>
      </c>
      <c r="N7" s="6">
        <v>46048</v>
      </c>
      <c r="O7" s="6">
        <v>46387</v>
      </c>
      <c r="P7" s="1" t="s">
        <v>1356</v>
      </c>
    </row>
    <row r="8" spans="1:16" x14ac:dyDescent="0.25">
      <c r="A8" s="4">
        <v>4</v>
      </c>
      <c r="B8" s="2" t="str">
        <f>HYPERLINK("https://my.zakupivli.pro/remote/dispatcher/state_purchase_view/65239725", "UA-2026-01-14-004073-a")</f>
        <v>UA-2026-01-14-004073-a</v>
      </c>
      <c r="C8" s="2" t="str">
        <f>HYPERLINK("https://my.zakupivli.pro/remote/dispatcher/state_contracting_view/26623698", "UA-2026-01-14-004073-a-a1")</f>
        <v>UA-2026-01-14-004073-a-a1</v>
      </c>
      <c r="D8" s="1" t="s">
        <v>253</v>
      </c>
      <c r="E8" s="1" t="s">
        <v>4</v>
      </c>
      <c r="F8" s="1" t="s">
        <v>3</v>
      </c>
      <c r="G8" s="1" t="s">
        <v>53</v>
      </c>
      <c r="H8" s="1" t="s">
        <v>894</v>
      </c>
      <c r="I8" s="1" t="s">
        <v>1276</v>
      </c>
      <c r="J8" s="1" t="s">
        <v>384</v>
      </c>
      <c r="K8" s="1" t="s">
        <v>160</v>
      </c>
      <c r="L8" s="5">
        <v>131040</v>
      </c>
      <c r="M8" s="1" t="s">
        <v>1293</v>
      </c>
      <c r="N8" s="6">
        <v>46036</v>
      </c>
      <c r="O8" s="6">
        <v>46387</v>
      </c>
      <c r="P8" s="1" t="s">
        <v>1356</v>
      </c>
    </row>
    <row r="9" spans="1:16" x14ac:dyDescent="0.25">
      <c r="A9" s="4">
        <v>5</v>
      </c>
      <c r="B9" s="2" t="str">
        <f>HYPERLINK("https://my.zakupivli.pro/remote/dispatcher/state_purchase_view/65527282", "UA-2026-01-23-004090-a")</f>
        <v>UA-2026-01-23-004090-a</v>
      </c>
      <c r="C9" s="2" t="str">
        <f>HYPERLINK("https://my.zakupivli.pro/remote/dispatcher/state_contracting_view/26745598", "UA-2026-01-23-004090-a-a1")</f>
        <v>UA-2026-01-23-004090-a-a1</v>
      </c>
      <c r="D9" s="1" t="s">
        <v>69</v>
      </c>
      <c r="E9" s="1" t="s">
        <v>902</v>
      </c>
      <c r="F9" s="1" t="s">
        <v>1366</v>
      </c>
      <c r="G9" s="1" t="s">
        <v>315</v>
      </c>
      <c r="H9" s="1" t="s">
        <v>894</v>
      </c>
      <c r="I9" s="1" t="s">
        <v>1018</v>
      </c>
      <c r="J9" s="1" t="s">
        <v>330</v>
      </c>
      <c r="K9" s="1" t="s">
        <v>22</v>
      </c>
      <c r="L9" s="4">
        <v>10846</v>
      </c>
      <c r="M9" s="1" t="s">
        <v>1293</v>
      </c>
      <c r="N9" s="6">
        <v>46045</v>
      </c>
      <c r="O9" s="6">
        <v>46387</v>
      </c>
      <c r="P9" s="1" t="s">
        <v>1356</v>
      </c>
    </row>
    <row r="10" spans="1:16" x14ac:dyDescent="0.25">
      <c r="A10" s="4">
        <v>6</v>
      </c>
      <c r="B10" s="2" t="str">
        <f>HYPERLINK("https://my.zakupivli.pro/remote/dispatcher/state_purchase_view/65242539", "UA-2026-01-14-005331-a")</f>
        <v>UA-2026-01-14-005331-a</v>
      </c>
      <c r="C10" s="2" t="str">
        <f>HYPERLINK("https://my.zakupivli.pro/remote/dispatcher/state_contracting_view/26625007", "UA-2026-01-14-005331-a-c1")</f>
        <v>UA-2026-01-14-005331-a-c1</v>
      </c>
      <c r="D10" s="1" t="s">
        <v>450</v>
      </c>
      <c r="E10" s="1" t="s">
        <v>1155</v>
      </c>
      <c r="F10" s="1" t="s">
        <v>1153</v>
      </c>
      <c r="G10" s="1" t="s">
        <v>438</v>
      </c>
      <c r="H10" s="1" t="s">
        <v>894</v>
      </c>
      <c r="I10" s="1" t="s">
        <v>1262</v>
      </c>
      <c r="J10" s="1" t="s">
        <v>324</v>
      </c>
      <c r="K10" s="1" t="s">
        <v>540</v>
      </c>
      <c r="L10" s="4">
        <v>31300</v>
      </c>
      <c r="M10" s="1" t="s">
        <v>1293</v>
      </c>
      <c r="N10" s="6">
        <v>46036</v>
      </c>
      <c r="O10" s="6">
        <v>46387</v>
      </c>
      <c r="P10" s="1" t="s">
        <v>1356</v>
      </c>
    </row>
    <row r="11" spans="1:16" x14ac:dyDescent="0.25">
      <c r="A11" s="4">
        <v>7</v>
      </c>
      <c r="B11" s="2" t="str">
        <f>HYPERLINK("https://my.zakupivli.pro/remote/dispatcher/state_purchase_view/65250380", "UA-2026-01-14-008746-a")</f>
        <v>UA-2026-01-14-008746-a</v>
      </c>
      <c r="C11" s="2" t="str">
        <f>HYPERLINK("https://my.zakupivli.pro/remote/dispatcher/state_contracting_view/26628043", "UA-2026-01-14-008746-a-b1")</f>
        <v>UA-2026-01-14-008746-a-b1</v>
      </c>
      <c r="D11" s="1" t="s">
        <v>56</v>
      </c>
      <c r="E11" s="1" t="s">
        <v>1012</v>
      </c>
      <c r="F11" s="1" t="s">
        <v>1010</v>
      </c>
      <c r="G11" s="1" t="s">
        <v>577</v>
      </c>
      <c r="H11" s="1" t="s">
        <v>894</v>
      </c>
      <c r="I11" s="1" t="s">
        <v>1285</v>
      </c>
      <c r="J11" s="1" t="s">
        <v>331</v>
      </c>
      <c r="K11" s="1" t="s">
        <v>1064</v>
      </c>
      <c r="L11" s="5">
        <v>7200</v>
      </c>
      <c r="M11" s="1" t="s">
        <v>993</v>
      </c>
      <c r="N11" s="6">
        <v>46036</v>
      </c>
      <c r="O11" s="6">
        <v>46387</v>
      </c>
      <c r="P11" s="1" t="s">
        <v>1356</v>
      </c>
    </row>
    <row r="12" spans="1:16" x14ac:dyDescent="0.25">
      <c r="A12" s="4">
        <v>8</v>
      </c>
      <c r="B12" s="2" t="str">
        <f>HYPERLINK("https://my.zakupivli.pro/remote/dispatcher/state_purchase_view/65241207", "UA-2026-01-14-004752-a")</f>
        <v>UA-2026-01-14-004752-a</v>
      </c>
      <c r="C12" s="2" t="str">
        <f>HYPERLINK("https://my.zakupivli.pro/remote/dispatcher/state_contracting_view/26624446", "UA-2026-01-14-004752-a-c1")</f>
        <v>UA-2026-01-14-004752-a-c1</v>
      </c>
      <c r="D12" s="1" t="s">
        <v>81</v>
      </c>
      <c r="E12" s="1" t="s">
        <v>1149</v>
      </c>
      <c r="F12" s="1" t="s">
        <v>1148</v>
      </c>
      <c r="G12" s="1" t="s">
        <v>551</v>
      </c>
      <c r="H12" s="1" t="s">
        <v>894</v>
      </c>
      <c r="I12" s="1" t="s">
        <v>830</v>
      </c>
      <c r="J12" s="1" t="s">
        <v>232</v>
      </c>
      <c r="K12" s="1" t="s">
        <v>337</v>
      </c>
      <c r="L12" s="4">
        <v>42000</v>
      </c>
      <c r="M12" s="1" t="s">
        <v>1293</v>
      </c>
      <c r="N12" s="6">
        <v>46036</v>
      </c>
      <c r="O12" s="6">
        <v>46387</v>
      </c>
      <c r="P12" s="1" t="s">
        <v>1356</v>
      </c>
    </row>
    <row r="13" spans="1:16" x14ac:dyDescent="0.25">
      <c r="A13" s="4">
        <v>9</v>
      </c>
      <c r="B13" s="2" t="str">
        <f>HYPERLINK("https://my.zakupivli.pro/remote/dispatcher/state_purchase_view/65248839", "UA-2026-01-14-008040-a")</f>
        <v>UA-2026-01-14-008040-a</v>
      </c>
      <c r="C13" s="2" t="str">
        <f>HYPERLINK("https://my.zakupivli.pro/remote/dispatcher/state_contracting_view/26627432", "UA-2026-01-14-008040-a-b1")</f>
        <v>UA-2026-01-14-008040-a-b1</v>
      </c>
      <c r="D13" s="1" t="s">
        <v>739</v>
      </c>
      <c r="E13" s="1" t="s">
        <v>1083</v>
      </c>
      <c r="F13" s="1" t="s">
        <v>1083</v>
      </c>
      <c r="G13" s="1" t="s">
        <v>469</v>
      </c>
      <c r="H13" s="1" t="s">
        <v>894</v>
      </c>
      <c r="I13" s="1" t="s">
        <v>1018</v>
      </c>
      <c r="J13" s="1" t="s">
        <v>330</v>
      </c>
      <c r="K13" s="1" t="s">
        <v>433</v>
      </c>
      <c r="L13" s="5">
        <v>11520</v>
      </c>
      <c r="M13" s="1" t="s">
        <v>1293</v>
      </c>
      <c r="N13" s="6">
        <v>46036</v>
      </c>
      <c r="O13" s="6">
        <v>46387</v>
      </c>
      <c r="P13" s="1" t="s">
        <v>1356</v>
      </c>
    </row>
    <row r="14" spans="1:16" x14ac:dyDescent="0.25">
      <c r="A14" s="4">
        <v>10</v>
      </c>
      <c r="B14" s="2" t="str">
        <f>HYPERLINK("https://my.zakupivli.pro/remote/dispatcher/state_purchase_view/65244407", "UA-2026-01-14-006128-a")</f>
        <v>UA-2026-01-14-006128-a</v>
      </c>
      <c r="C14" s="2" t="str">
        <f>HYPERLINK("https://my.zakupivli.pro/remote/dispatcher/state_contracting_view/26625737", "UA-2026-01-14-006128-a-c1")</f>
        <v>UA-2026-01-14-006128-a-c1</v>
      </c>
      <c r="D14" s="1" t="s">
        <v>754</v>
      </c>
      <c r="E14" s="1" t="s">
        <v>1175</v>
      </c>
      <c r="F14" s="1" t="s">
        <v>1296</v>
      </c>
      <c r="G14" s="1" t="s">
        <v>54</v>
      </c>
      <c r="H14" s="1" t="s">
        <v>894</v>
      </c>
      <c r="I14" s="1" t="s">
        <v>1020</v>
      </c>
      <c r="J14" s="1" t="s">
        <v>35</v>
      </c>
      <c r="K14" s="1" t="s">
        <v>599</v>
      </c>
      <c r="L14" s="4">
        <v>380000</v>
      </c>
      <c r="M14" s="1" t="s">
        <v>1293</v>
      </c>
      <c r="N14" s="6">
        <v>46036</v>
      </c>
      <c r="O14" s="6">
        <v>46387</v>
      </c>
      <c r="P14" s="1" t="s">
        <v>1356</v>
      </c>
    </row>
    <row r="15" spans="1:16" x14ac:dyDescent="0.25">
      <c r="A15" s="4">
        <v>11</v>
      </c>
      <c r="B15" s="2" t="str">
        <f>HYPERLINK("https://my.zakupivli.pro/remote/dispatcher/state_purchase_view/65247460", "UA-2026-01-14-007422-a")</f>
        <v>UA-2026-01-14-007422-a</v>
      </c>
      <c r="C15" s="2" t="str">
        <f>HYPERLINK("https://my.zakupivli.pro/remote/dispatcher/state_contracting_view/26626897", "UA-2026-01-14-007422-a-a1")</f>
        <v>UA-2026-01-14-007422-a-a1</v>
      </c>
      <c r="D15" s="1" t="s">
        <v>647</v>
      </c>
      <c r="E15" s="1" t="s">
        <v>1136</v>
      </c>
      <c r="F15" s="1" t="s">
        <v>1135</v>
      </c>
      <c r="G15" s="1" t="s">
        <v>631</v>
      </c>
      <c r="H15" s="1" t="s">
        <v>894</v>
      </c>
      <c r="I15" s="1" t="s">
        <v>920</v>
      </c>
      <c r="J15" s="1" t="s">
        <v>37</v>
      </c>
      <c r="K15" s="1" t="s">
        <v>627</v>
      </c>
      <c r="L15" s="5">
        <v>13759.38</v>
      </c>
      <c r="M15" s="1" t="s">
        <v>1293</v>
      </c>
      <c r="N15" s="6">
        <v>46036</v>
      </c>
      <c r="O15" s="6">
        <v>46387</v>
      </c>
      <c r="P15" s="1" t="s">
        <v>1356</v>
      </c>
    </row>
    <row r="16" spans="1:16" x14ac:dyDescent="0.25">
      <c r="A16" s="4">
        <v>12</v>
      </c>
      <c r="B16" s="2" t="str">
        <f>HYPERLINK("https://my.zakupivli.pro/remote/dispatcher/state_purchase_view/65290549", "UA-2026-01-15-011594-a")</f>
        <v>UA-2026-01-15-011594-a</v>
      </c>
      <c r="C16" s="2" t="str">
        <f>HYPERLINK("https://my.zakupivli.pro/remote/dispatcher/state_contracting_view/26645103", "UA-2026-01-15-011594-a-b1")</f>
        <v>UA-2026-01-15-011594-a-b1</v>
      </c>
      <c r="D16" s="1" t="s">
        <v>501</v>
      </c>
      <c r="E16" s="1" t="s">
        <v>1159</v>
      </c>
      <c r="F16" s="1" t="s">
        <v>1158</v>
      </c>
      <c r="G16" s="1" t="s">
        <v>553</v>
      </c>
      <c r="H16" s="1" t="s">
        <v>894</v>
      </c>
      <c r="I16" s="1" t="s">
        <v>1286</v>
      </c>
      <c r="J16" s="1" t="s">
        <v>424</v>
      </c>
      <c r="K16" s="1" t="s">
        <v>299</v>
      </c>
      <c r="L16" s="4">
        <v>14880</v>
      </c>
      <c r="M16" s="1" t="s">
        <v>1293</v>
      </c>
      <c r="N16" s="6">
        <v>46037</v>
      </c>
      <c r="O16" s="6">
        <v>46387</v>
      </c>
      <c r="P16" s="1" t="s">
        <v>1356</v>
      </c>
    </row>
    <row r="17" spans="1:16" hidden="1" x14ac:dyDescent="0.25">
      <c r="A17" s="4">
        <v>13</v>
      </c>
      <c r="B17" s="2" t="str">
        <f>HYPERLINK("https://my.zakupivli.pro/remote/dispatcher/state_purchase_view/58624214", "UA-2025-04-08-007893-a")</f>
        <v>UA-2025-04-08-007893-a</v>
      </c>
      <c r="C17" s="2" t="str">
        <f>HYPERLINK("https://my.zakupivli.pro/remote/dispatcher/state_contracting_view/23759977", "UA-2025-04-08-007893-a-a1")</f>
        <v>UA-2025-04-08-007893-a-a1</v>
      </c>
      <c r="D17" s="1" t="s">
        <v>559</v>
      </c>
      <c r="E17" s="1" t="s">
        <v>856</v>
      </c>
      <c r="F17" s="1" t="s">
        <v>1315</v>
      </c>
      <c r="G17" s="1" t="s">
        <v>304</v>
      </c>
      <c r="H17" s="1" t="s">
        <v>894</v>
      </c>
      <c r="I17" s="1" t="s">
        <v>1289</v>
      </c>
      <c r="J17" s="1" t="s">
        <v>168</v>
      </c>
      <c r="K17" s="1" t="s">
        <v>258</v>
      </c>
      <c r="L17" s="5">
        <v>950</v>
      </c>
      <c r="M17" s="1" t="s">
        <v>993</v>
      </c>
      <c r="N17" s="6">
        <v>45755</v>
      </c>
      <c r="O17" s="6">
        <v>46022</v>
      </c>
      <c r="P17" s="1" t="s">
        <v>1357</v>
      </c>
    </row>
    <row r="18" spans="1:16" hidden="1" x14ac:dyDescent="0.25">
      <c r="A18" s="4">
        <v>14</v>
      </c>
      <c r="B18" s="2" t="str">
        <f>HYPERLINK("https://my.zakupivli.pro/remote/dispatcher/state_purchase_view/58623132", "UA-2025-04-08-007421-a")</f>
        <v>UA-2025-04-08-007421-a</v>
      </c>
      <c r="C18" s="2" t="str">
        <f>HYPERLINK("https://my.zakupivli.pro/remote/dispatcher/state_contracting_view/23759553", "UA-2025-04-08-007421-a-b1")</f>
        <v>UA-2025-04-08-007421-a-b1</v>
      </c>
      <c r="D18" s="1" t="s">
        <v>767</v>
      </c>
      <c r="E18" s="1" t="s">
        <v>936</v>
      </c>
      <c r="F18" s="1" t="s">
        <v>936</v>
      </c>
      <c r="G18" s="1" t="s">
        <v>264</v>
      </c>
      <c r="H18" s="1" t="s">
        <v>894</v>
      </c>
      <c r="I18" s="1" t="s">
        <v>1289</v>
      </c>
      <c r="J18" s="1" t="s">
        <v>168</v>
      </c>
      <c r="K18" s="1" t="s">
        <v>372</v>
      </c>
      <c r="L18" s="5">
        <v>5635</v>
      </c>
      <c r="M18" s="1" t="s">
        <v>993</v>
      </c>
      <c r="N18" s="6">
        <v>45755</v>
      </c>
      <c r="O18" s="6">
        <v>46022</v>
      </c>
      <c r="P18" s="1" t="s">
        <v>1357</v>
      </c>
    </row>
    <row r="19" spans="1:16" hidden="1" x14ac:dyDescent="0.25">
      <c r="A19" s="4">
        <v>15</v>
      </c>
      <c r="B19" s="2" t="str">
        <f>HYPERLINK("https://my.zakupivli.pro/remote/dispatcher/state_purchase_view/63720152", "UA-2025-11-24-001311-a")</f>
        <v>UA-2025-11-24-001311-a</v>
      </c>
      <c r="C19" s="2" t="str">
        <f>HYPERLINK("https://my.zakupivli.pro/remote/dispatcher/state_contracting_view/25964067", "UA-2025-11-24-001311-a-a1")</f>
        <v>UA-2025-11-24-001311-a-a1</v>
      </c>
      <c r="D19" s="1" t="s">
        <v>546</v>
      </c>
      <c r="E19" s="1" t="s">
        <v>1065</v>
      </c>
      <c r="F19" s="1" t="s">
        <v>1065</v>
      </c>
      <c r="G19" s="1" t="s">
        <v>340</v>
      </c>
      <c r="H19" s="1" t="s">
        <v>894</v>
      </c>
      <c r="I19" s="1" t="s">
        <v>959</v>
      </c>
      <c r="J19" s="1" t="s">
        <v>181</v>
      </c>
      <c r="K19" s="1" t="s">
        <v>110</v>
      </c>
      <c r="L19" s="5">
        <v>1200</v>
      </c>
      <c r="M19" s="1" t="s">
        <v>993</v>
      </c>
      <c r="N19" s="6">
        <v>45985</v>
      </c>
      <c r="O19" s="6">
        <v>46022</v>
      </c>
      <c r="P19" s="1" t="s">
        <v>1357</v>
      </c>
    </row>
    <row r="20" spans="1:16" hidden="1" x14ac:dyDescent="0.25">
      <c r="A20" s="4">
        <v>16</v>
      </c>
      <c r="B20" s="2" t="str">
        <f>HYPERLINK("https://my.zakupivli.pro/remote/dispatcher/state_purchase_view/58872083", "UA-2025-04-18-006858-a")</f>
        <v>UA-2025-04-18-006858-a</v>
      </c>
      <c r="C20" s="2" t="str">
        <f>HYPERLINK("https://my.zakupivli.pro/remote/dispatcher/state_contracting_view/23867778", "UA-2025-04-18-006858-a-c1")</f>
        <v>UA-2025-04-18-006858-a-c1</v>
      </c>
      <c r="D20" s="1" t="s">
        <v>759</v>
      </c>
      <c r="E20" s="1" t="s">
        <v>1129</v>
      </c>
      <c r="F20" s="1" t="s">
        <v>1129</v>
      </c>
      <c r="G20" s="1" t="s">
        <v>475</v>
      </c>
      <c r="H20" s="1" t="s">
        <v>894</v>
      </c>
      <c r="I20" s="1" t="s">
        <v>1350</v>
      </c>
      <c r="J20" s="1" t="s">
        <v>223</v>
      </c>
      <c r="K20" s="1" t="s">
        <v>33</v>
      </c>
      <c r="L20" s="5">
        <v>52000</v>
      </c>
      <c r="M20" s="1" t="s">
        <v>993</v>
      </c>
      <c r="N20" s="6">
        <v>45765</v>
      </c>
      <c r="O20" s="6">
        <v>46022</v>
      </c>
      <c r="P20" s="1" t="s">
        <v>1357</v>
      </c>
    </row>
    <row r="21" spans="1:16" hidden="1" x14ac:dyDescent="0.25">
      <c r="A21" s="4">
        <v>17</v>
      </c>
      <c r="B21" s="2" t="str">
        <f>HYPERLINK("https://my.zakupivli.pro/remote/dispatcher/state_purchase_view/60062207", "UA-2025-06-13-003409-a")</f>
        <v>UA-2025-06-13-003409-a</v>
      </c>
      <c r="C21" s="2" t="str">
        <f>HYPERLINK("https://my.zakupivli.pro/remote/dispatcher/state_contracting_view/24379721", "UA-2025-06-13-003409-a-c1")</f>
        <v>UA-2025-06-13-003409-a-c1</v>
      </c>
      <c r="D21" s="1" t="s">
        <v>718</v>
      </c>
      <c r="E21" s="1" t="s">
        <v>1076</v>
      </c>
      <c r="F21" s="1" t="s">
        <v>1076</v>
      </c>
      <c r="G21" s="1" t="s">
        <v>550</v>
      </c>
      <c r="H21" s="1" t="s">
        <v>894</v>
      </c>
      <c r="I21" s="1" t="s">
        <v>1237</v>
      </c>
      <c r="J21" s="1" t="s">
        <v>242</v>
      </c>
      <c r="K21" s="1" t="s">
        <v>527</v>
      </c>
      <c r="L21" s="4">
        <v>4018</v>
      </c>
      <c r="M21" s="1" t="s">
        <v>993</v>
      </c>
      <c r="N21" s="6">
        <v>45820</v>
      </c>
      <c r="O21" s="6">
        <v>46022</v>
      </c>
      <c r="P21" s="1" t="s">
        <v>1357</v>
      </c>
    </row>
    <row r="22" spans="1:16" hidden="1" x14ac:dyDescent="0.25">
      <c r="A22" s="4">
        <v>18</v>
      </c>
      <c r="B22" s="2" t="str">
        <f>HYPERLINK("https://my.zakupivli.pro/remote/dispatcher/state_purchase_view/60476602", "UA-2025-07-02-006867-a")</f>
        <v>UA-2025-07-02-006867-a</v>
      </c>
      <c r="C22" s="2" t="str">
        <f>HYPERLINK("https://my.zakupivli.pro/remote/dispatcher/state_contracting_view/24561044", "UA-2025-07-02-006867-a-a1")</f>
        <v>UA-2025-07-02-006867-a-a1</v>
      </c>
      <c r="D22" s="1" t="s">
        <v>752</v>
      </c>
      <c r="E22" s="1" t="s">
        <v>890</v>
      </c>
      <c r="F22" s="1" t="s">
        <v>890</v>
      </c>
      <c r="G22" s="1" t="s">
        <v>169</v>
      </c>
      <c r="H22" s="1" t="s">
        <v>894</v>
      </c>
      <c r="I22" s="1" t="s">
        <v>1265</v>
      </c>
      <c r="J22" s="1" t="s">
        <v>334</v>
      </c>
      <c r="K22" s="1" t="s">
        <v>543</v>
      </c>
      <c r="L22" s="5">
        <v>13530</v>
      </c>
      <c r="M22" s="1" t="s">
        <v>993</v>
      </c>
      <c r="N22" s="6">
        <v>45840</v>
      </c>
      <c r="O22" s="6">
        <v>46022</v>
      </c>
      <c r="P22" s="1" t="s">
        <v>1357</v>
      </c>
    </row>
    <row r="23" spans="1:16" hidden="1" x14ac:dyDescent="0.25">
      <c r="A23" s="4">
        <v>19</v>
      </c>
      <c r="B23" s="2" t="str">
        <f>HYPERLINK("https://my.zakupivli.pro/remote/dispatcher/state_purchase_view/64567294", "UA-2025-12-17-000874-a")</f>
        <v>UA-2025-12-17-000874-a</v>
      </c>
      <c r="C23" s="2" t="str">
        <f>HYPERLINK("https://my.zakupivli.pro/remote/dispatcher/state_contracting_view/26326158", "UA-2025-12-17-000874-a-c1")</f>
        <v>UA-2025-12-17-000874-a-c1</v>
      </c>
      <c r="D23" s="1" t="s">
        <v>360</v>
      </c>
      <c r="E23" s="1" t="s">
        <v>1187</v>
      </c>
      <c r="F23" s="1" t="s">
        <v>1186</v>
      </c>
      <c r="G23" s="1" t="s">
        <v>413</v>
      </c>
      <c r="H23" s="1" t="s">
        <v>894</v>
      </c>
      <c r="I23" s="1" t="s">
        <v>1278</v>
      </c>
      <c r="J23" s="1" t="s">
        <v>377</v>
      </c>
      <c r="K23" s="1" t="s">
        <v>127</v>
      </c>
      <c r="L23" s="5">
        <v>35572.57</v>
      </c>
      <c r="M23" s="1" t="s">
        <v>993</v>
      </c>
      <c r="N23" s="6">
        <v>46008</v>
      </c>
      <c r="O23" s="6">
        <v>46022</v>
      </c>
      <c r="P23" s="1" t="s">
        <v>1357</v>
      </c>
    </row>
    <row r="24" spans="1:16" hidden="1" x14ac:dyDescent="0.25">
      <c r="A24" s="4">
        <v>20</v>
      </c>
      <c r="B24" s="2" t="str">
        <f>HYPERLINK("https://my.zakupivli.pro/remote/dispatcher/state_purchase_view/64120002", "UA-2025-12-04-017394-a")</f>
        <v>UA-2025-12-04-017394-a</v>
      </c>
      <c r="C24" s="2" t="str">
        <f>HYPERLINK("https://my.zakupivli.pro/remote/dispatcher/state_contracting_view/26132973", "UA-2025-12-04-017394-a-c1")</f>
        <v>UA-2025-12-04-017394-a-c1</v>
      </c>
      <c r="D24" s="1" t="s">
        <v>504</v>
      </c>
      <c r="E24" s="1" t="s">
        <v>2</v>
      </c>
      <c r="F24" s="1" t="s">
        <v>1</v>
      </c>
      <c r="G24" s="1" t="s">
        <v>325</v>
      </c>
      <c r="H24" s="1" t="s">
        <v>894</v>
      </c>
      <c r="I24" s="1" t="s">
        <v>832</v>
      </c>
      <c r="J24" s="1" t="s">
        <v>241</v>
      </c>
      <c r="K24" s="1" t="s">
        <v>202</v>
      </c>
      <c r="L24" s="5">
        <v>32000</v>
      </c>
      <c r="M24" s="1" t="s">
        <v>993</v>
      </c>
      <c r="N24" s="6">
        <v>45995</v>
      </c>
      <c r="O24" s="6">
        <v>46022</v>
      </c>
      <c r="P24" s="1" t="s">
        <v>1357</v>
      </c>
    </row>
    <row r="25" spans="1:16" hidden="1" x14ac:dyDescent="0.25">
      <c r="A25" s="4">
        <v>21</v>
      </c>
      <c r="B25" s="2" t="str">
        <f>HYPERLINK("https://my.zakupivli.pro/remote/dispatcher/state_purchase_view/64123743", "UA-2025-12-04-019056-a")</f>
        <v>UA-2025-12-04-019056-a</v>
      </c>
      <c r="C25" s="2" t="str">
        <f>HYPERLINK("https://my.zakupivli.pro/remote/dispatcher/state_contracting_view/26134507", "UA-2025-12-04-019056-a-c1")</f>
        <v>UA-2025-12-04-019056-a-c1</v>
      </c>
      <c r="D25" s="1" t="s">
        <v>719</v>
      </c>
      <c r="E25" s="1" t="s">
        <v>824</v>
      </c>
      <c r="F25" s="1" t="s">
        <v>823</v>
      </c>
      <c r="G25" s="1" t="s">
        <v>288</v>
      </c>
      <c r="H25" s="1" t="s">
        <v>894</v>
      </c>
      <c r="I25" s="1" t="s">
        <v>1275</v>
      </c>
      <c r="J25" s="1" t="s">
        <v>410</v>
      </c>
      <c r="K25" s="1" t="s">
        <v>202</v>
      </c>
      <c r="L25" s="5">
        <v>14998</v>
      </c>
      <c r="M25" s="1" t="s">
        <v>1293</v>
      </c>
      <c r="N25" s="6">
        <v>45995</v>
      </c>
      <c r="O25" s="6">
        <v>46022</v>
      </c>
      <c r="P25" s="1" t="s">
        <v>1357</v>
      </c>
    </row>
    <row r="26" spans="1:16" hidden="1" x14ac:dyDescent="0.25">
      <c r="A26" s="4">
        <v>22</v>
      </c>
      <c r="B26" s="2" t="str">
        <f>HYPERLINK("https://my.zakupivli.pro/remote/dispatcher/state_purchase_view/56431570", "UA-2025-01-09-007566-a")</f>
        <v>UA-2025-01-09-007566-a</v>
      </c>
      <c r="C26" s="2" t="str">
        <f>HYPERLINK("https://my.zakupivli.pro/remote/dispatcher/state_contracting_view/22806520", "UA-2025-01-09-007566-a-b1")</f>
        <v>UA-2025-01-09-007566-a-b1</v>
      </c>
      <c r="D26" s="1" t="s">
        <v>496</v>
      </c>
      <c r="E26" s="1" t="s">
        <v>1137</v>
      </c>
      <c r="F26" s="1" t="s">
        <v>1137</v>
      </c>
      <c r="G26" s="1" t="s">
        <v>521</v>
      </c>
      <c r="H26" s="1" t="s">
        <v>894</v>
      </c>
      <c r="I26" s="1" t="s">
        <v>920</v>
      </c>
      <c r="J26" s="1" t="s">
        <v>37</v>
      </c>
      <c r="K26" s="1" t="s">
        <v>627</v>
      </c>
      <c r="L26" s="5">
        <v>13674.78</v>
      </c>
      <c r="M26" s="1" t="s">
        <v>1293</v>
      </c>
      <c r="N26" s="6">
        <v>45666</v>
      </c>
      <c r="O26" s="6">
        <v>46022</v>
      </c>
      <c r="P26" s="1" t="s">
        <v>1357</v>
      </c>
    </row>
    <row r="27" spans="1:16" hidden="1" x14ac:dyDescent="0.25">
      <c r="A27" s="4">
        <v>23</v>
      </c>
      <c r="B27" s="2" t="str">
        <f>HYPERLINK("https://my.zakupivli.pro/remote/dispatcher/state_purchase_view/58625085", "UA-2025-04-08-008271-a")</f>
        <v>UA-2025-04-08-008271-a</v>
      </c>
      <c r="C27" s="2" t="str">
        <f>HYPERLINK("https://my.zakupivli.pro/remote/dispatcher/state_contracting_view/23760284", "UA-2025-04-08-008271-a-a1")</f>
        <v>UA-2025-04-08-008271-a-a1</v>
      </c>
      <c r="D27" s="1" t="s">
        <v>427</v>
      </c>
      <c r="E27" s="1" t="s">
        <v>1070</v>
      </c>
      <c r="F27" s="1" t="s">
        <v>1069</v>
      </c>
      <c r="G27" s="1" t="s">
        <v>130</v>
      </c>
      <c r="H27" s="1" t="s">
        <v>894</v>
      </c>
      <c r="I27" s="1" t="s">
        <v>1289</v>
      </c>
      <c r="J27" s="1" t="s">
        <v>168</v>
      </c>
      <c r="K27" s="1" t="s">
        <v>258</v>
      </c>
      <c r="L27" s="4">
        <v>3402</v>
      </c>
      <c r="M27" s="1" t="s">
        <v>993</v>
      </c>
      <c r="N27" s="6">
        <v>45755</v>
      </c>
      <c r="O27" s="6">
        <v>46022</v>
      </c>
      <c r="P27" s="1" t="s">
        <v>1357</v>
      </c>
    </row>
    <row r="28" spans="1:16" hidden="1" x14ac:dyDescent="0.25">
      <c r="A28" s="4">
        <v>24</v>
      </c>
      <c r="B28" s="2" t="str">
        <f>HYPERLINK("https://my.zakupivli.pro/remote/dispatcher/state_purchase_view/60660277", "UA-2025-07-11-001963-a")</f>
        <v>UA-2025-07-11-001963-a</v>
      </c>
      <c r="C28" s="2" t="str">
        <f>HYPERLINK("https://my.zakupivli.pro/remote/dispatcher/state_contracting_view/24641460", "UA-2025-07-11-001963-a-b1")</f>
        <v>UA-2025-07-11-001963-a-b1</v>
      </c>
      <c r="D28" s="1" t="s">
        <v>451</v>
      </c>
      <c r="E28" s="1" t="s">
        <v>1115</v>
      </c>
      <c r="F28" s="1" t="s">
        <v>1115</v>
      </c>
      <c r="G28" s="1" t="s">
        <v>473</v>
      </c>
      <c r="H28" s="1" t="s">
        <v>894</v>
      </c>
      <c r="I28" s="1" t="s">
        <v>1029</v>
      </c>
      <c r="J28" s="1" t="s">
        <v>375</v>
      </c>
      <c r="K28" s="1" t="s">
        <v>79</v>
      </c>
      <c r="L28" s="5">
        <v>2659.12</v>
      </c>
      <c r="M28" s="1" t="s">
        <v>993</v>
      </c>
      <c r="N28" s="6">
        <v>45848</v>
      </c>
      <c r="O28" s="6">
        <v>46022</v>
      </c>
      <c r="P28" s="1" t="s">
        <v>1357</v>
      </c>
    </row>
    <row r="29" spans="1:16" hidden="1" x14ac:dyDescent="0.25">
      <c r="A29" s="4">
        <v>25</v>
      </c>
      <c r="B29" s="2" t="str">
        <f>HYPERLINK("https://my.zakupivli.pro/remote/dispatcher/state_purchase_view/58824603", "UA-2025-04-16-010801-a")</f>
        <v>UA-2025-04-16-010801-a</v>
      </c>
      <c r="C29" s="2" t="str">
        <f>HYPERLINK("https://my.zakupivli.pro/remote/dispatcher/state_contracting_view/23847257", "UA-2025-04-16-010801-a-b1")</f>
        <v>UA-2025-04-16-010801-a-b1</v>
      </c>
      <c r="D29" s="1" t="s">
        <v>650</v>
      </c>
      <c r="E29" s="1" t="s">
        <v>1111</v>
      </c>
      <c r="F29" s="1" t="s">
        <v>1111</v>
      </c>
      <c r="G29" s="1" t="s">
        <v>467</v>
      </c>
      <c r="H29" s="1" t="s">
        <v>894</v>
      </c>
      <c r="I29" s="1" t="s">
        <v>961</v>
      </c>
      <c r="J29" s="1" t="s">
        <v>271</v>
      </c>
      <c r="K29" s="1" t="s">
        <v>11</v>
      </c>
      <c r="L29" s="5">
        <v>41547</v>
      </c>
      <c r="M29" s="1" t="s">
        <v>993</v>
      </c>
      <c r="N29" s="6">
        <v>45763</v>
      </c>
      <c r="O29" s="6">
        <v>46022</v>
      </c>
      <c r="P29" s="1" t="s">
        <v>1357</v>
      </c>
    </row>
    <row r="30" spans="1:16" hidden="1" x14ac:dyDescent="0.25">
      <c r="A30" s="4">
        <v>26</v>
      </c>
      <c r="B30" s="2" t="str">
        <f>HYPERLINK("https://my.zakupivli.pro/remote/dispatcher/state_purchase_view/59526118", "UA-2025-05-20-001623-a")</f>
        <v>UA-2025-05-20-001623-a</v>
      </c>
      <c r="C30" s="2" t="str">
        <f>HYPERLINK("https://my.zakupivli.pro/remote/dispatcher/state_contracting_view/24146020", "UA-2025-05-20-001623-a-b1")</f>
        <v>UA-2025-05-20-001623-a-b1</v>
      </c>
      <c r="D30" s="1" t="s">
        <v>226</v>
      </c>
      <c r="E30" s="1" t="s">
        <v>844</v>
      </c>
      <c r="F30" s="1" t="s">
        <v>844</v>
      </c>
      <c r="G30" s="1" t="s">
        <v>400</v>
      </c>
      <c r="H30" s="1" t="s">
        <v>894</v>
      </c>
      <c r="I30" s="1" t="s">
        <v>1289</v>
      </c>
      <c r="J30" s="1" t="s">
        <v>168</v>
      </c>
      <c r="K30" s="1" t="s">
        <v>512</v>
      </c>
      <c r="L30" s="5">
        <v>14734.75</v>
      </c>
      <c r="M30" s="1" t="s">
        <v>993</v>
      </c>
      <c r="N30" s="6">
        <v>45797</v>
      </c>
      <c r="O30" s="6">
        <v>46022</v>
      </c>
      <c r="P30" s="1" t="s">
        <v>1357</v>
      </c>
    </row>
    <row r="31" spans="1:16" hidden="1" x14ac:dyDescent="0.25">
      <c r="A31" s="4">
        <v>27</v>
      </c>
      <c r="B31" s="2" t="str">
        <f>HYPERLINK("https://my.zakupivli.pro/remote/dispatcher/state_purchase_view/60516943", "UA-2025-07-03-011527-a")</f>
        <v>UA-2025-07-03-011527-a</v>
      </c>
      <c r="C31" s="2" t="str">
        <f>HYPERLINK("https://my.zakupivli.pro/remote/dispatcher/state_contracting_view/24578761", "UA-2025-07-03-011527-a-b1")</f>
        <v>UA-2025-07-03-011527-a-b1</v>
      </c>
      <c r="D31" s="1" t="s">
        <v>651</v>
      </c>
      <c r="E31" s="1" t="s">
        <v>349</v>
      </c>
      <c r="F31" s="1" t="s">
        <v>1360</v>
      </c>
      <c r="G31" s="1" t="s">
        <v>348</v>
      </c>
      <c r="H31" s="1" t="s">
        <v>894</v>
      </c>
      <c r="I31" s="1" t="s">
        <v>1289</v>
      </c>
      <c r="J31" s="1" t="s">
        <v>168</v>
      </c>
      <c r="K31" s="1" t="s">
        <v>592</v>
      </c>
      <c r="L31" s="4">
        <v>2430</v>
      </c>
      <c r="M31" s="1" t="s">
        <v>993</v>
      </c>
      <c r="N31" s="6">
        <v>45841</v>
      </c>
      <c r="O31" s="6">
        <v>46022</v>
      </c>
      <c r="P31" s="1" t="s">
        <v>1357</v>
      </c>
    </row>
    <row r="32" spans="1:16" hidden="1" x14ac:dyDescent="0.25">
      <c r="A32" s="4">
        <v>28</v>
      </c>
      <c r="B32" s="2" t="str">
        <f>HYPERLINK("https://my.zakupivli.pro/remote/dispatcher/state_purchase_view/64096053", "UA-2025-12-04-006609-a")</f>
        <v>UA-2025-12-04-006609-a</v>
      </c>
      <c r="C32" s="2" t="str">
        <f>HYPERLINK("https://my.zakupivli.pro/remote/dispatcher/state_contracting_view/26123015", "UA-2025-12-04-006609-a-a1")</f>
        <v>UA-2025-12-04-006609-a-a1</v>
      </c>
      <c r="D32" s="1" t="s">
        <v>696</v>
      </c>
      <c r="E32" s="1" t="s">
        <v>1341</v>
      </c>
      <c r="F32" s="1" t="s">
        <v>1341</v>
      </c>
      <c r="G32" s="1" t="s">
        <v>335</v>
      </c>
      <c r="H32" s="1" t="s">
        <v>894</v>
      </c>
      <c r="I32" s="1" t="s">
        <v>1228</v>
      </c>
      <c r="J32" s="1" t="s">
        <v>194</v>
      </c>
      <c r="K32" s="1" t="s">
        <v>117</v>
      </c>
      <c r="L32" s="4">
        <v>49800</v>
      </c>
      <c r="M32" s="1" t="s">
        <v>993</v>
      </c>
      <c r="N32" s="6">
        <v>45995</v>
      </c>
      <c r="O32" s="6">
        <v>46022</v>
      </c>
      <c r="P32" s="1" t="s">
        <v>1357</v>
      </c>
    </row>
    <row r="33" spans="1:16" hidden="1" x14ac:dyDescent="0.25">
      <c r="A33" s="4">
        <v>29</v>
      </c>
      <c r="B33" s="2" t="str">
        <f>HYPERLINK("https://my.zakupivli.pro/remote/dispatcher/state_purchase_view/61987046", "UA-2025-09-16-011394-a")</f>
        <v>UA-2025-09-16-011394-a</v>
      </c>
      <c r="C33" s="2" t="str">
        <f>HYPERLINK("https://my.zakupivli.pro/remote/dispatcher/state_contracting_view/25218978", "UA-2025-09-16-011394-a-c1")</f>
        <v>UA-2025-09-16-011394-a-c1</v>
      </c>
      <c r="D33" s="1" t="s">
        <v>643</v>
      </c>
      <c r="E33" s="1" t="s">
        <v>1095</v>
      </c>
      <c r="F33" s="1" t="s">
        <v>1095</v>
      </c>
      <c r="G33" s="1" t="s">
        <v>438</v>
      </c>
      <c r="H33" s="1" t="s">
        <v>894</v>
      </c>
      <c r="I33" s="1" t="s">
        <v>834</v>
      </c>
      <c r="J33" s="1" t="s">
        <v>191</v>
      </c>
      <c r="K33" s="1" t="s">
        <v>200</v>
      </c>
      <c r="L33" s="4">
        <v>3500</v>
      </c>
      <c r="M33" s="1" t="s">
        <v>993</v>
      </c>
      <c r="N33" s="6">
        <v>45916</v>
      </c>
      <c r="O33" s="6">
        <v>46022</v>
      </c>
      <c r="P33" s="1" t="s">
        <v>1357</v>
      </c>
    </row>
    <row r="34" spans="1:16" hidden="1" x14ac:dyDescent="0.25">
      <c r="A34" s="4">
        <v>30</v>
      </c>
      <c r="B34" s="2" t="str">
        <f>HYPERLINK("https://my.zakupivli.pro/remote/dispatcher/state_purchase_view/56551541", "UA-2025-01-15-003363-a")</f>
        <v>UA-2025-01-15-003363-a</v>
      </c>
      <c r="C34" s="2" t="str">
        <f>HYPERLINK("https://my.zakupivli.pro/remote/dispatcher/state_contracting_view/22855832", "UA-2025-01-15-003363-a-a1")</f>
        <v>UA-2025-01-15-003363-a-a1</v>
      </c>
      <c r="D34" s="1" t="s">
        <v>678</v>
      </c>
      <c r="E34" s="1" t="s">
        <v>881</v>
      </c>
      <c r="F34" s="1" t="s">
        <v>880</v>
      </c>
      <c r="G34" s="1" t="s">
        <v>553</v>
      </c>
      <c r="H34" s="1" t="s">
        <v>894</v>
      </c>
      <c r="I34" s="1" t="s">
        <v>1286</v>
      </c>
      <c r="J34" s="1" t="s">
        <v>424</v>
      </c>
      <c r="K34" s="1" t="s">
        <v>299</v>
      </c>
      <c r="L34" s="4">
        <v>14880</v>
      </c>
      <c r="M34" s="1" t="s">
        <v>1293</v>
      </c>
      <c r="N34" s="6">
        <v>45672</v>
      </c>
      <c r="O34" s="6">
        <v>46022</v>
      </c>
      <c r="P34" s="1" t="s">
        <v>1357</v>
      </c>
    </row>
    <row r="35" spans="1:16" hidden="1" x14ac:dyDescent="0.25">
      <c r="A35" s="4">
        <v>31</v>
      </c>
      <c r="B35" s="2" t="str">
        <f>HYPERLINK("https://my.zakupivli.pro/remote/dispatcher/state_purchase_view/58156854", "UA-2025-03-18-003277-a")</f>
        <v>UA-2025-03-18-003277-a</v>
      </c>
      <c r="C35" s="2" t="str">
        <f>HYPERLINK("https://my.zakupivli.pro/remote/dispatcher/state_contracting_view/23555725", "UA-2025-03-18-003277-a-a1")</f>
        <v>UA-2025-03-18-003277-a-a1</v>
      </c>
      <c r="D35" s="1" t="s">
        <v>41</v>
      </c>
      <c r="E35" s="1" t="s">
        <v>1236</v>
      </c>
      <c r="F35" s="1" t="s">
        <v>1236</v>
      </c>
      <c r="G35" s="1" t="s">
        <v>283</v>
      </c>
      <c r="H35" s="1" t="s">
        <v>894</v>
      </c>
      <c r="I35" s="1" t="s">
        <v>833</v>
      </c>
      <c r="J35" s="1" t="s">
        <v>238</v>
      </c>
      <c r="K35" s="1" t="s">
        <v>99</v>
      </c>
      <c r="L35" s="4">
        <v>2912</v>
      </c>
      <c r="M35" s="1" t="s">
        <v>993</v>
      </c>
      <c r="N35" s="6">
        <v>45734</v>
      </c>
      <c r="O35" s="6">
        <v>46022</v>
      </c>
      <c r="P35" s="1" t="s">
        <v>1357</v>
      </c>
    </row>
    <row r="36" spans="1:16" hidden="1" x14ac:dyDescent="0.25">
      <c r="A36" s="4">
        <v>32</v>
      </c>
      <c r="B36" s="2" t="str">
        <f>HYPERLINK("https://my.zakupivli.pro/remote/dispatcher/state_purchase_view/58623636", "UA-2025-04-08-007656-a")</f>
        <v>UA-2025-04-08-007656-a</v>
      </c>
      <c r="C36" s="2" t="str">
        <f>HYPERLINK("https://my.zakupivli.pro/remote/dispatcher/state_contracting_view/23759754", "UA-2025-04-08-007656-a-a1")</f>
        <v>UA-2025-04-08-007656-a-a1</v>
      </c>
      <c r="D36" s="1" t="s">
        <v>675</v>
      </c>
      <c r="E36" s="1" t="s">
        <v>860</v>
      </c>
      <c r="F36" s="1" t="s">
        <v>1036</v>
      </c>
      <c r="G36" s="1" t="s">
        <v>132</v>
      </c>
      <c r="H36" s="1" t="s">
        <v>894</v>
      </c>
      <c r="I36" s="1" t="s">
        <v>1289</v>
      </c>
      <c r="J36" s="1" t="s">
        <v>168</v>
      </c>
      <c r="K36" s="1" t="s">
        <v>258</v>
      </c>
      <c r="L36" s="5">
        <v>1000</v>
      </c>
      <c r="M36" s="1" t="s">
        <v>993</v>
      </c>
      <c r="N36" s="6">
        <v>45755</v>
      </c>
      <c r="O36" s="6">
        <v>46022</v>
      </c>
      <c r="P36" s="1" t="s">
        <v>1357</v>
      </c>
    </row>
    <row r="37" spans="1:16" hidden="1" x14ac:dyDescent="0.25">
      <c r="A37" s="4">
        <v>33</v>
      </c>
      <c r="B37" s="2" t="str">
        <f>HYPERLINK("https://my.zakupivli.pro/remote/dispatcher/state_purchase_view/59361084", "UA-2025-05-12-011902-a")</f>
        <v>UA-2025-05-12-011902-a</v>
      </c>
      <c r="C37" s="2" t="str">
        <f>HYPERLINK("https://my.zakupivli.pro/remote/dispatcher/state_contracting_view/24074177", "UA-2025-05-12-011902-a-c1")</f>
        <v>UA-2025-05-12-011902-a-c1</v>
      </c>
      <c r="D37" s="1" t="s">
        <v>730</v>
      </c>
      <c r="E37" s="1" t="s">
        <v>1306</v>
      </c>
      <c r="F37" s="1" t="s">
        <v>1306</v>
      </c>
      <c r="G37" s="1" t="s">
        <v>549</v>
      </c>
      <c r="H37" s="1" t="s">
        <v>894</v>
      </c>
      <c r="I37" s="1" t="s">
        <v>960</v>
      </c>
      <c r="J37" s="1" t="s">
        <v>306</v>
      </c>
      <c r="K37" s="1" t="s">
        <v>20</v>
      </c>
      <c r="L37" s="5">
        <v>13020.68</v>
      </c>
      <c r="M37" s="1" t="s">
        <v>993</v>
      </c>
      <c r="N37" s="6">
        <v>45789</v>
      </c>
      <c r="O37" s="6">
        <v>46022</v>
      </c>
      <c r="P37" s="1" t="s">
        <v>1357</v>
      </c>
    </row>
    <row r="38" spans="1:16" hidden="1" x14ac:dyDescent="0.25">
      <c r="A38" s="4">
        <v>34</v>
      </c>
      <c r="B38" s="2" t="str">
        <f>HYPERLINK("https://my.zakupivli.pro/remote/dispatcher/state_purchase_view/61392387", "UA-2025-08-20-000281-a")</f>
        <v>UA-2025-08-20-000281-a</v>
      </c>
      <c r="C38" s="2" t="str">
        <f>HYPERLINK("https://my.zakupivli.pro/remote/dispatcher/state_contracting_view/24960622", "UA-2025-08-20-000281-a-c1")</f>
        <v>UA-2025-08-20-000281-a-c1</v>
      </c>
      <c r="D38" s="1" t="s">
        <v>34</v>
      </c>
      <c r="E38" s="1" t="s">
        <v>942</v>
      </c>
      <c r="F38" s="1" t="s">
        <v>1171</v>
      </c>
      <c r="G38" s="1" t="s">
        <v>552</v>
      </c>
      <c r="H38" s="1" t="s">
        <v>894</v>
      </c>
      <c r="I38" s="1" t="s">
        <v>1283</v>
      </c>
      <c r="J38" s="1" t="s">
        <v>322</v>
      </c>
      <c r="K38" s="1" t="s">
        <v>1205</v>
      </c>
      <c r="L38" s="5">
        <v>702</v>
      </c>
      <c r="M38" s="1" t="s">
        <v>1293</v>
      </c>
      <c r="N38" s="6">
        <v>45889</v>
      </c>
      <c r="O38" s="6">
        <v>46022</v>
      </c>
      <c r="P38" s="1" t="s">
        <v>1357</v>
      </c>
    </row>
    <row r="39" spans="1:16" hidden="1" x14ac:dyDescent="0.25">
      <c r="A39" s="4">
        <v>35</v>
      </c>
      <c r="B39" s="2" t="str">
        <f>HYPERLINK("https://my.zakupivli.pro/remote/dispatcher/state_purchase_view/61213751", "UA-2025-08-11-007435-a")</f>
        <v>UA-2025-08-11-007435-a</v>
      </c>
      <c r="C39" s="2" t="str">
        <f>HYPERLINK("https://my.zakupivli.pro/remote/dispatcher/state_contracting_view/24884107", "UA-2025-08-11-007435-a-c1")</f>
        <v>UA-2025-08-11-007435-a-c1</v>
      </c>
      <c r="D39" s="1" t="s">
        <v>517</v>
      </c>
      <c r="E39" s="1" t="s">
        <v>859</v>
      </c>
      <c r="F39" s="1" t="s">
        <v>1361</v>
      </c>
      <c r="G39" s="1" t="s">
        <v>355</v>
      </c>
      <c r="H39" s="1" t="s">
        <v>894</v>
      </c>
      <c r="I39" s="1" t="s">
        <v>1289</v>
      </c>
      <c r="J39" s="1" t="s">
        <v>168</v>
      </c>
      <c r="K39" s="1" t="s">
        <v>630</v>
      </c>
      <c r="L39" s="5">
        <v>180</v>
      </c>
      <c r="M39" s="1" t="s">
        <v>993</v>
      </c>
      <c r="N39" s="6">
        <v>45880</v>
      </c>
      <c r="O39" s="6">
        <v>46022</v>
      </c>
      <c r="P39" s="1" t="s">
        <v>1357</v>
      </c>
    </row>
    <row r="40" spans="1:16" hidden="1" x14ac:dyDescent="0.25">
      <c r="A40" s="4">
        <v>36</v>
      </c>
      <c r="B40" s="2" t="str">
        <f>HYPERLINK("https://my.zakupivli.pro/remote/dispatcher/state_purchase_view/62182849", "UA-2025-09-24-007588-a")</f>
        <v>UA-2025-09-24-007588-a</v>
      </c>
      <c r="C40" s="2" t="str">
        <f>HYPERLINK("https://my.zakupivli.pro/remote/dispatcher/state_contracting_view/25303931", "UA-2025-09-24-007588-a-c1")</f>
        <v>UA-2025-09-24-007588-a-c1</v>
      </c>
      <c r="D40" s="1" t="s">
        <v>544</v>
      </c>
      <c r="E40" s="1" t="s">
        <v>1156</v>
      </c>
      <c r="F40" s="1" t="s">
        <v>1156</v>
      </c>
      <c r="G40" s="1" t="s">
        <v>465</v>
      </c>
      <c r="H40" s="1" t="s">
        <v>894</v>
      </c>
      <c r="I40" s="1" t="s">
        <v>829</v>
      </c>
      <c r="J40" s="1" t="s">
        <v>195</v>
      </c>
      <c r="K40" s="1" t="s">
        <v>86</v>
      </c>
      <c r="L40" s="5">
        <v>1880</v>
      </c>
      <c r="M40" s="1" t="s">
        <v>993</v>
      </c>
      <c r="N40" s="6">
        <v>45924</v>
      </c>
      <c r="O40" s="6">
        <v>46022</v>
      </c>
      <c r="P40" s="1" t="s">
        <v>1357</v>
      </c>
    </row>
    <row r="41" spans="1:16" hidden="1" x14ac:dyDescent="0.25">
      <c r="A41" s="4">
        <v>37</v>
      </c>
      <c r="B41" s="2" t="str">
        <f>HYPERLINK("https://my.zakupivli.pro/remote/dispatcher/state_purchase_view/56435989", "UA-2025-01-09-009495-a")</f>
        <v>UA-2025-01-09-009495-a</v>
      </c>
      <c r="C41" s="2" t="str">
        <f>HYPERLINK("https://my.zakupivli.pro/remote/dispatcher/state_contracting_view/22808196", "UA-2025-01-09-009495-a-b1")</f>
        <v>UA-2025-01-09-009495-a-b1</v>
      </c>
      <c r="D41" s="1" t="s">
        <v>361</v>
      </c>
      <c r="E41" s="1" t="s">
        <v>1010</v>
      </c>
      <c r="F41" s="1" t="s">
        <v>1010</v>
      </c>
      <c r="G41" s="1" t="s">
        <v>577</v>
      </c>
      <c r="H41" s="1" t="s">
        <v>894</v>
      </c>
      <c r="I41" s="1" t="s">
        <v>1274</v>
      </c>
      <c r="J41" s="1" t="s">
        <v>339</v>
      </c>
      <c r="K41" s="1" t="s">
        <v>1063</v>
      </c>
      <c r="L41" s="5">
        <v>7200</v>
      </c>
      <c r="M41" s="1" t="s">
        <v>993</v>
      </c>
      <c r="N41" s="6">
        <v>45666</v>
      </c>
      <c r="O41" s="6">
        <v>46022</v>
      </c>
      <c r="P41" s="1" t="s">
        <v>1357</v>
      </c>
    </row>
    <row r="42" spans="1:16" hidden="1" x14ac:dyDescent="0.25">
      <c r="A42" s="4">
        <v>38</v>
      </c>
      <c r="B42" s="2" t="str">
        <f>HYPERLINK("https://my.zakupivli.pro/remote/dispatcher/state_purchase_view/58624694", "UA-2025-04-08-008126-a")</f>
        <v>UA-2025-04-08-008126-a</v>
      </c>
      <c r="C42" s="2" t="str">
        <f>HYPERLINK("https://my.zakupivli.pro/remote/dispatcher/state_contracting_view/23760193", "UA-2025-04-08-008126-a-b1")</f>
        <v>UA-2025-04-08-008126-a-b1</v>
      </c>
      <c r="D42" s="1" t="s">
        <v>249</v>
      </c>
      <c r="E42" s="1" t="s">
        <v>857</v>
      </c>
      <c r="F42" s="1" t="s">
        <v>899</v>
      </c>
      <c r="G42" s="1" t="s">
        <v>356</v>
      </c>
      <c r="H42" s="1" t="s">
        <v>894</v>
      </c>
      <c r="I42" s="1" t="s">
        <v>1289</v>
      </c>
      <c r="J42" s="1" t="s">
        <v>168</v>
      </c>
      <c r="K42" s="1" t="s">
        <v>258</v>
      </c>
      <c r="L42" s="5">
        <v>2610</v>
      </c>
      <c r="M42" s="1" t="s">
        <v>993</v>
      </c>
      <c r="N42" s="6">
        <v>45755</v>
      </c>
      <c r="O42" s="6">
        <v>46022</v>
      </c>
      <c r="P42" s="1" t="s">
        <v>1357</v>
      </c>
    </row>
    <row r="43" spans="1:16" hidden="1" x14ac:dyDescent="0.25">
      <c r="A43" s="4">
        <v>39</v>
      </c>
      <c r="B43" s="2" t="str">
        <f>HYPERLINK("https://my.zakupivli.pro/remote/dispatcher/state_purchase_view/58970248", "UA-2025-04-24-008067-a")</f>
        <v>UA-2025-04-24-008067-a</v>
      </c>
      <c r="C43" s="2" t="str">
        <f>HYPERLINK("https://my.zakupivli.pro/remote/dispatcher/state_contracting_view/23997458", "UA-2025-04-24-008067-a-a1")</f>
        <v>UA-2025-04-24-008067-a-a1</v>
      </c>
      <c r="D43" s="1" t="s">
        <v>764</v>
      </c>
      <c r="E43" s="1" t="s">
        <v>1107</v>
      </c>
      <c r="F43" s="1" t="s">
        <v>1106</v>
      </c>
      <c r="G43" s="1" t="s">
        <v>421</v>
      </c>
      <c r="H43" s="1" t="s">
        <v>854</v>
      </c>
      <c r="I43" s="1" t="s">
        <v>1329</v>
      </c>
      <c r="J43" s="1" t="s">
        <v>375</v>
      </c>
      <c r="K43" s="1" t="s">
        <v>460</v>
      </c>
      <c r="L43" s="5">
        <v>938799.91</v>
      </c>
      <c r="M43" s="1" t="s">
        <v>993</v>
      </c>
      <c r="N43" s="6">
        <v>45789</v>
      </c>
      <c r="O43" s="6">
        <v>46022</v>
      </c>
      <c r="P43" s="1" t="s">
        <v>1357</v>
      </c>
    </row>
    <row r="44" spans="1:16" hidden="1" x14ac:dyDescent="0.25">
      <c r="A44" s="4">
        <v>40</v>
      </c>
      <c r="B44" s="2" t="str">
        <f>HYPERLINK("https://my.zakupivli.pro/remote/dispatcher/state_purchase_view/59202084", "UA-2025-05-06-007038-a")</f>
        <v>UA-2025-05-06-007038-a</v>
      </c>
      <c r="C44" s="2" t="str">
        <f>HYPERLINK("https://my.zakupivli.pro/remote/dispatcher/state_contracting_view/24012188", "UA-2025-05-06-007038-a-c1")</f>
        <v>UA-2025-05-06-007038-a-c1</v>
      </c>
      <c r="D44" s="1" t="s">
        <v>122</v>
      </c>
      <c r="E44" s="1" t="s">
        <v>1342</v>
      </c>
      <c r="F44" s="1" t="s">
        <v>1342</v>
      </c>
      <c r="G44" s="1" t="s">
        <v>596</v>
      </c>
      <c r="H44" s="1" t="s">
        <v>894</v>
      </c>
      <c r="I44" s="1" t="s">
        <v>976</v>
      </c>
      <c r="J44" s="1" t="s">
        <v>213</v>
      </c>
      <c r="K44" s="1" t="s">
        <v>236</v>
      </c>
      <c r="L44" s="4">
        <v>1474</v>
      </c>
      <c r="M44" s="1" t="s">
        <v>993</v>
      </c>
      <c r="N44" s="6">
        <v>45783</v>
      </c>
      <c r="O44" s="6">
        <v>46022</v>
      </c>
      <c r="P44" s="1" t="s">
        <v>1357</v>
      </c>
    </row>
    <row r="45" spans="1:16" hidden="1" x14ac:dyDescent="0.25">
      <c r="A45" s="4">
        <v>41</v>
      </c>
      <c r="B45" s="2" t="str">
        <f>HYPERLINK("https://my.zakupivli.pro/remote/dispatcher/state_purchase_view/60517378", "UA-2025-07-03-011716-a")</f>
        <v>UA-2025-07-03-011716-a</v>
      </c>
      <c r="C45" s="2" t="str">
        <f>HYPERLINK("https://my.zakupivli.pro/remote/dispatcher/state_contracting_view/24578871", "UA-2025-07-03-011716-a-b1")</f>
        <v>UA-2025-07-03-011716-a-b1</v>
      </c>
      <c r="D45" s="1" t="s">
        <v>507</v>
      </c>
      <c r="E45" s="1" t="s">
        <v>404</v>
      </c>
      <c r="F45" s="1" t="s">
        <v>916</v>
      </c>
      <c r="G45" s="1" t="s">
        <v>405</v>
      </c>
      <c r="H45" s="1" t="s">
        <v>894</v>
      </c>
      <c r="I45" s="1" t="s">
        <v>1289</v>
      </c>
      <c r="J45" s="1" t="s">
        <v>168</v>
      </c>
      <c r="K45" s="1" t="s">
        <v>592</v>
      </c>
      <c r="L45" s="5">
        <v>420</v>
      </c>
      <c r="M45" s="1" t="s">
        <v>993</v>
      </c>
      <c r="N45" s="6">
        <v>45841</v>
      </c>
      <c r="O45" s="6">
        <v>46022</v>
      </c>
      <c r="P45" s="1" t="s">
        <v>1357</v>
      </c>
    </row>
    <row r="46" spans="1:16" hidden="1" x14ac:dyDescent="0.25">
      <c r="A46" s="4">
        <v>42</v>
      </c>
      <c r="B46" s="2" t="str">
        <f>HYPERLINK("https://my.zakupivli.pro/remote/dispatcher/state_purchase_view/61213165", "UA-2025-08-11-007170-a")</f>
        <v>UA-2025-08-11-007170-a</v>
      </c>
      <c r="C46" s="2" t="str">
        <f>HYPERLINK("https://my.zakupivli.pro/remote/dispatcher/state_contracting_view/24883863", "UA-2025-08-11-007170-a-a1")</f>
        <v>UA-2025-08-11-007170-a-a1</v>
      </c>
      <c r="D46" s="1" t="s">
        <v>535</v>
      </c>
      <c r="E46" s="1" t="s">
        <v>862</v>
      </c>
      <c r="F46" s="1" t="s">
        <v>1315</v>
      </c>
      <c r="G46" s="1" t="s">
        <v>304</v>
      </c>
      <c r="H46" s="1" t="s">
        <v>894</v>
      </c>
      <c r="I46" s="1" t="s">
        <v>1289</v>
      </c>
      <c r="J46" s="1" t="s">
        <v>168</v>
      </c>
      <c r="K46" s="1" t="s">
        <v>630</v>
      </c>
      <c r="L46" s="5">
        <v>2965</v>
      </c>
      <c r="M46" s="1" t="s">
        <v>993</v>
      </c>
      <c r="N46" s="6">
        <v>45880</v>
      </c>
      <c r="O46" s="6">
        <v>46022</v>
      </c>
      <c r="P46" s="1" t="s">
        <v>1357</v>
      </c>
    </row>
    <row r="47" spans="1:16" hidden="1" x14ac:dyDescent="0.25">
      <c r="A47" s="4">
        <v>43</v>
      </c>
      <c r="B47" s="2" t="str">
        <f>HYPERLINK("https://my.zakupivli.pro/remote/dispatcher/state_purchase_view/64122784", "UA-2025-12-04-018602-a")</f>
        <v>UA-2025-12-04-018602-a</v>
      </c>
      <c r="C47" s="2" t="str">
        <f>HYPERLINK("https://my.zakupivli.pro/remote/dispatcher/state_contracting_view/26134135", "UA-2025-12-04-018602-a-a1")</f>
        <v>UA-2025-12-04-018602-a-a1</v>
      </c>
      <c r="D47" s="1" t="s">
        <v>212</v>
      </c>
      <c r="E47" s="1" t="s">
        <v>1251</v>
      </c>
      <c r="F47" s="1" t="s">
        <v>1250</v>
      </c>
      <c r="G47" s="1" t="s">
        <v>328</v>
      </c>
      <c r="H47" s="1" t="s">
        <v>894</v>
      </c>
      <c r="I47" s="1" t="s">
        <v>1275</v>
      </c>
      <c r="J47" s="1" t="s">
        <v>410</v>
      </c>
      <c r="K47" s="1" t="s">
        <v>204</v>
      </c>
      <c r="L47" s="5">
        <v>7875</v>
      </c>
      <c r="M47" s="1" t="s">
        <v>1293</v>
      </c>
      <c r="N47" s="6">
        <v>45995</v>
      </c>
      <c r="O47" s="6">
        <v>46022</v>
      </c>
      <c r="P47" s="1" t="s">
        <v>1357</v>
      </c>
    </row>
    <row r="48" spans="1:16" hidden="1" x14ac:dyDescent="0.25">
      <c r="A48" s="4">
        <v>44</v>
      </c>
      <c r="B48" s="2" t="str">
        <f>HYPERLINK("https://my.zakupivli.pro/remote/dispatcher/state_purchase_view/64121803", "UA-2025-12-04-018159-a")</f>
        <v>UA-2025-12-04-018159-a</v>
      </c>
      <c r="C48" s="2" t="str">
        <f>HYPERLINK("https://my.zakupivli.pro/remote/dispatcher/state_contracting_view/26133703", "UA-2025-12-04-018159-a-c1")</f>
        <v>UA-2025-12-04-018159-a-c1</v>
      </c>
      <c r="D48" s="1" t="s">
        <v>565</v>
      </c>
      <c r="E48" s="1" t="s">
        <v>1053</v>
      </c>
      <c r="F48" s="1" t="s">
        <v>1052</v>
      </c>
      <c r="G48" s="1" t="s">
        <v>328</v>
      </c>
      <c r="H48" s="1" t="s">
        <v>894</v>
      </c>
      <c r="I48" s="1" t="s">
        <v>1275</v>
      </c>
      <c r="J48" s="1" t="s">
        <v>410</v>
      </c>
      <c r="K48" s="1" t="s">
        <v>205</v>
      </c>
      <c r="L48" s="5">
        <v>27720</v>
      </c>
      <c r="M48" s="1" t="s">
        <v>1293</v>
      </c>
      <c r="N48" s="6">
        <v>45995</v>
      </c>
      <c r="O48" s="6">
        <v>46022</v>
      </c>
      <c r="P48" s="1" t="s">
        <v>1357</v>
      </c>
    </row>
    <row r="49" spans="1:16" hidden="1" x14ac:dyDescent="0.25">
      <c r="A49" s="4">
        <v>45</v>
      </c>
      <c r="B49" s="2" t="str">
        <f>HYPERLINK("https://my.zakupivli.pro/remote/dispatcher/state_purchase_view/63561197", "UA-2025-11-18-003888-a")</f>
        <v>UA-2025-11-18-003888-a</v>
      </c>
      <c r="C49" s="2" t="str">
        <f>HYPERLINK("https://my.zakupivli.pro/remote/dispatcher/state_contracting_view/25895807", "UA-2025-11-18-003888-a-b1")</f>
        <v>UA-2025-11-18-003888-a-b1</v>
      </c>
      <c r="D49" s="1" t="s">
        <v>381</v>
      </c>
      <c r="E49" s="1" t="s">
        <v>838</v>
      </c>
      <c r="F49" s="1" t="s">
        <v>839</v>
      </c>
      <c r="G49" s="1" t="s">
        <v>267</v>
      </c>
      <c r="H49" s="1" t="s">
        <v>894</v>
      </c>
      <c r="I49" s="1" t="s">
        <v>1024</v>
      </c>
      <c r="J49" s="1" t="s">
        <v>274</v>
      </c>
      <c r="K49" s="1" t="s">
        <v>478</v>
      </c>
      <c r="L49" s="4">
        <v>19980</v>
      </c>
      <c r="M49" s="1" t="s">
        <v>1293</v>
      </c>
      <c r="N49" s="6">
        <v>45979</v>
      </c>
      <c r="O49" s="6">
        <v>46022</v>
      </c>
      <c r="P49" s="1" t="s">
        <v>1357</v>
      </c>
    </row>
    <row r="50" spans="1:16" hidden="1" x14ac:dyDescent="0.25">
      <c r="A50" s="4">
        <v>46</v>
      </c>
      <c r="B50" s="2" t="str">
        <f>HYPERLINK("https://my.zakupivli.pro/remote/dispatcher/state_purchase_view/64020787", "UA-2025-12-02-017109-a")</f>
        <v>UA-2025-12-02-017109-a</v>
      </c>
      <c r="C50" s="2" t="str">
        <f>HYPERLINK("https://my.zakupivli.pro/remote/dispatcher/state_contracting_view/26091495", "UA-2025-12-02-017109-a-a1")</f>
        <v>UA-2025-12-02-017109-a-a1</v>
      </c>
      <c r="D50" s="1" t="s">
        <v>605</v>
      </c>
      <c r="E50" s="1" t="s">
        <v>1126</v>
      </c>
      <c r="F50" s="1" t="s">
        <v>1125</v>
      </c>
      <c r="G50" s="1" t="s">
        <v>475</v>
      </c>
      <c r="H50" s="1" t="s">
        <v>894</v>
      </c>
      <c r="I50" s="1" t="s">
        <v>923</v>
      </c>
      <c r="J50" s="1" t="s">
        <v>319</v>
      </c>
      <c r="K50" s="1" t="s">
        <v>29</v>
      </c>
      <c r="L50" s="4">
        <v>61500</v>
      </c>
      <c r="M50" s="1" t="s">
        <v>993</v>
      </c>
      <c r="N50" s="6">
        <v>45993</v>
      </c>
      <c r="O50" s="6">
        <v>46022</v>
      </c>
      <c r="P50" s="1" t="s">
        <v>1357</v>
      </c>
    </row>
    <row r="51" spans="1:16" hidden="1" x14ac:dyDescent="0.25">
      <c r="A51" s="4">
        <v>47</v>
      </c>
      <c r="B51" s="2" t="str">
        <f>HYPERLINK("https://my.zakupivli.pro/remote/dispatcher/state_purchase_view/61996922", "UA-2025-09-17-000468-a")</f>
        <v>UA-2025-09-17-000468-a</v>
      </c>
      <c r="C51" s="2" t="str">
        <f>HYPERLINK("https://my.zakupivli.pro/remote/dispatcher/state_contracting_view/25223215", "UA-2025-09-17-000468-a-b1")</f>
        <v>UA-2025-09-17-000468-a-b1</v>
      </c>
      <c r="D51" s="1" t="s">
        <v>392</v>
      </c>
      <c r="E51" s="1" t="s">
        <v>1300</v>
      </c>
      <c r="F51" s="1" t="s">
        <v>1299</v>
      </c>
      <c r="G51" s="1" t="s">
        <v>465</v>
      </c>
      <c r="H51" s="1" t="s">
        <v>894</v>
      </c>
      <c r="I51" s="1" t="s">
        <v>829</v>
      </c>
      <c r="J51" s="1" t="s">
        <v>195</v>
      </c>
      <c r="K51" s="1" t="s">
        <v>76</v>
      </c>
      <c r="L51" s="5">
        <v>460</v>
      </c>
      <c r="M51" s="1" t="s">
        <v>993</v>
      </c>
      <c r="N51" s="6">
        <v>45916</v>
      </c>
      <c r="O51" s="6">
        <v>46022</v>
      </c>
      <c r="P51" s="1" t="s">
        <v>1357</v>
      </c>
    </row>
    <row r="52" spans="1:16" hidden="1" x14ac:dyDescent="0.25">
      <c r="A52" s="4">
        <v>48</v>
      </c>
      <c r="B52" s="2" t="str">
        <f>HYPERLINK("https://my.zakupivli.pro/remote/dispatcher/state_purchase_view/63620272", "UA-2025-11-19-012189-a")</f>
        <v>UA-2025-11-19-012189-a</v>
      </c>
      <c r="C52" s="2" t="str">
        <f>HYPERLINK("https://my.zakupivli.pro/remote/dispatcher/state_contracting_view/25921168", "UA-2025-11-19-012189-a-c1")</f>
        <v>UA-2025-11-19-012189-a-c1</v>
      </c>
      <c r="D52" s="1" t="s">
        <v>740</v>
      </c>
      <c r="E52" s="1" t="s">
        <v>1078</v>
      </c>
      <c r="F52" s="1" t="s">
        <v>1078</v>
      </c>
      <c r="G52" s="1" t="s">
        <v>597</v>
      </c>
      <c r="H52" s="1" t="s">
        <v>894</v>
      </c>
      <c r="I52" s="1" t="s">
        <v>1267</v>
      </c>
      <c r="J52" s="1" t="s">
        <v>393</v>
      </c>
      <c r="K52" s="1" t="s">
        <v>561</v>
      </c>
      <c r="L52" s="5">
        <v>6400</v>
      </c>
      <c r="M52" s="1" t="s">
        <v>993</v>
      </c>
      <c r="N52" s="6">
        <v>45980</v>
      </c>
      <c r="O52" s="6">
        <v>46022</v>
      </c>
      <c r="P52" s="1" t="s">
        <v>1357</v>
      </c>
    </row>
    <row r="53" spans="1:16" hidden="1" x14ac:dyDescent="0.25">
      <c r="A53" s="4">
        <v>49</v>
      </c>
      <c r="B53" s="2" t="str">
        <f>HYPERLINK("https://my.zakupivli.pro/remote/dispatcher/state_purchase_view/56428700", "UA-2025-01-09-006338-a")</f>
        <v>UA-2025-01-09-006338-a</v>
      </c>
      <c r="C53" s="2" t="str">
        <f>HYPERLINK("https://my.zakupivli.pro/remote/dispatcher/state_contracting_view/22805477", "UA-2025-01-09-006338-a-c1")</f>
        <v>UA-2025-01-09-006338-a-c1</v>
      </c>
      <c r="D53" s="1" t="s">
        <v>578</v>
      </c>
      <c r="E53" s="1" t="s">
        <v>1297</v>
      </c>
      <c r="F53" s="1" t="s">
        <v>1297</v>
      </c>
      <c r="G53" s="1" t="s">
        <v>54</v>
      </c>
      <c r="H53" s="1" t="s">
        <v>894</v>
      </c>
      <c r="I53" s="1" t="s">
        <v>1020</v>
      </c>
      <c r="J53" s="1" t="s">
        <v>35</v>
      </c>
      <c r="K53" s="1" t="s">
        <v>563</v>
      </c>
      <c r="L53" s="5">
        <v>668520</v>
      </c>
      <c r="M53" s="1" t="s">
        <v>1293</v>
      </c>
      <c r="N53" s="6">
        <v>45666</v>
      </c>
      <c r="O53" s="6">
        <v>46022</v>
      </c>
      <c r="P53" s="1" t="s">
        <v>1357</v>
      </c>
    </row>
    <row r="54" spans="1:16" hidden="1" x14ac:dyDescent="0.25">
      <c r="A54" s="4">
        <v>50</v>
      </c>
      <c r="B54" s="2" t="str">
        <f>HYPERLINK("https://my.zakupivli.pro/remote/dispatcher/state_purchase_view/58622617", "UA-2025-04-08-007173-a")</f>
        <v>UA-2025-04-08-007173-a</v>
      </c>
      <c r="C54" s="2" t="str">
        <f>HYPERLINK("https://my.zakupivli.pro/remote/dispatcher/state_contracting_view/23759233", "UA-2025-04-08-007173-a-b1")</f>
        <v>UA-2025-04-08-007173-a-b1</v>
      </c>
      <c r="D54" s="1" t="s">
        <v>245</v>
      </c>
      <c r="E54" s="1" t="s">
        <v>1233</v>
      </c>
      <c r="F54" s="1" t="s">
        <v>1233</v>
      </c>
      <c r="G54" s="1" t="s">
        <v>164</v>
      </c>
      <c r="H54" s="1" t="s">
        <v>894</v>
      </c>
      <c r="I54" s="1" t="s">
        <v>917</v>
      </c>
      <c r="J54" s="1" t="s">
        <v>280</v>
      </c>
      <c r="K54" s="1" t="s">
        <v>144</v>
      </c>
      <c r="L54" s="5">
        <v>3271.2</v>
      </c>
      <c r="M54" s="1" t="s">
        <v>993</v>
      </c>
      <c r="N54" s="6">
        <v>45755</v>
      </c>
      <c r="O54" s="6">
        <v>46022</v>
      </c>
      <c r="P54" s="1" t="s">
        <v>1357</v>
      </c>
    </row>
    <row r="55" spans="1:16" hidden="1" x14ac:dyDescent="0.25">
      <c r="A55" s="4">
        <v>51</v>
      </c>
      <c r="B55" s="2" t="str">
        <f>HYPERLINK("https://my.zakupivli.pro/remote/dispatcher/state_purchase_view/60081769", "UA-2025-06-13-003087-a")</f>
        <v>UA-2025-06-13-003087-a</v>
      </c>
      <c r="C55" s="2" t="str">
        <f>HYPERLINK("https://my.zakupivli.pro/remote/dispatcher/state_contracting_view/24388141", "UA-2025-06-13-003087-a-b1")</f>
        <v>UA-2025-06-13-003087-a-b1</v>
      </c>
      <c r="D55" s="1" t="s">
        <v>780</v>
      </c>
      <c r="E55" s="1" t="s">
        <v>1145</v>
      </c>
      <c r="F55" s="1" t="s">
        <v>1145</v>
      </c>
      <c r="G55" s="1" t="s">
        <v>471</v>
      </c>
      <c r="H55" s="1" t="s">
        <v>894</v>
      </c>
      <c r="I55" s="1" t="s">
        <v>1018</v>
      </c>
      <c r="J55" s="1" t="s">
        <v>330</v>
      </c>
      <c r="K55" s="1" t="s">
        <v>220</v>
      </c>
      <c r="L55" s="5">
        <v>3898.07</v>
      </c>
      <c r="M55" s="1" t="s">
        <v>1293</v>
      </c>
      <c r="N55" s="6">
        <v>45820</v>
      </c>
      <c r="O55" s="6">
        <v>46022</v>
      </c>
      <c r="P55" s="1" t="s">
        <v>1357</v>
      </c>
    </row>
    <row r="56" spans="1:16" hidden="1" x14ac:dyDescent="0.25">
      <c r="A56" s="4">
        <v>52</v>
      </c>
      <c r="B56" s="2" t="str">
        <f>HYPERLINK("https://my.zakupivli.pro/remote/dispatcher/state_purchase_view/60507792", "UA-2025-07-03-007331-a")</f>
        <v>UA-2025-07-03-007331-a</v>
      </c>
      <c r="C56" s="2" t="str">
        <f>HYPERLINK("https://my.zakupivli.pro/remote/dispatcher/state_contracting_view/24574858", "UA-2025-07-03-007331-a-a1")</f>
        <v>UA-2025-07-03-007331-a-a1</v>
      </c>
      <c r="D56" s="1" t="s">
        <v>524</v>
      </c>
      <c r="E56" s="1" t="s">
        <v>1183</v>
      </c>
      <c r="F56" s="1" t="s">
        <v>1183</v>
      </c>
      <c r="G56" s="1" t="s">
        <v>465</v>
      </c>
      <c r="H56" s="1" t="s">
        <v>894</v>
      </c>
      <c r="I56" s="1" t="s">
        <v>1287</v>
      </c>
      <c r="J56" s="1" t="s">
        <v>411</v>
      </c>
      <c r="K56" s="1" t="s">
        <v>380</v>
      </c>
      <c r="L56" s="5">
        <v>2300</v>
      </c>
      <c r="M56" s="1" t="s">
        <v>993</v>
      </c>
      <c r="N56" s="6">
        <v>45841</v>
      </c>
      <c r="O56" s="6">
        <v>46022</v>
      </c>
      <c r="P56" s="1" t="s">
        <v>1357</v>
      </c>
    </row>
    <row r="57" spans="1:16" hidden="1" x14ac:dyDescent="0.25">
      <c r="A57" s="4">
        <v>53</v>
      </c>
      <c r="B57" s="2" t="str">
        <f>HYPERLINK("https://my.zakupivli.pro/remote/dispatcher/state_purchase_view/60517782", "UA-2025-07-03-011899-a")</f>
        <v>UA-2025-07-03-011899-a</v>
      </c>
      <c r="C57" s="2" t="str">
        <f>HYPERLINK("https://my.zakupivli.pro/remote/dispatcher/state_contracting_view/24579057", "UA-2025-07-03-011899-a-a1")</f>
        <v>UA-2025-07-03-011899-a-a1</v>
      </c>
      <c r="D57" s="1" t="s">
        <v>476</v>
      </c>
      <c r="E57" s="1" t="s">
        <v>120</v>
      </c>
      <c r="F57" s="1" t="s">
        <v>821</v>
      </c>
      <c r="G57" s="1" t="s">
        <v>119</v>
      </c>
      <c r="H57" s="1" t="s">
        <v>894</v>
      </c>
      <c r="I57" s="1" t="s">
        <v>1289</v>
      </c>
      <c r="J57" s="1" t="s">
        <v>168</v>
      </c>
      <c r="K57" s="1" t="s">
        <v>592</v>
      </c>
      <c r="L57" s="4">
        <v>200</v>
      </c>
      <c r="M57" s="1" t="s">
        <v>993</v>
      </c>
      <c r="N57" s="6">
        <v>45841</v>
      </c>
      <c r="O57" s="6">
        <v>46022</v>
      </c>
      <c r="P57" s="1" t="s">
        <v>1357</v>
      </c>
    </row>
    <row r="58" spans="1:16" hidden="1" x14ac:dyDescent="0.25">
      <c r="A58" s="4">
        <v>54</v>
      </c>
      <c r="B58" s="2" t="str">
        <f>HYPERLINK("https://my.zakupivli.pro/remote/dispatcher/state_purchase_view/62670500", "UA-2025-10-15-003630-a")</f>
        <v>UA-2025-10-15-003630-a</v>
      </c>
      <c r="C58" s="2" t="str">
        <f>HYPERLINK("https://my.zakupivli.pro/remote/dispatcher/state_contracting_view/25511649", "UA-2025-10-15-003630-a-b1")</f>
        <v>UA-2025-10-15-003630-a-b1</v>
      </c>
      <c r="D58" s="1" t="s">
        <v>615</v>
      </c>
      <c r="E58" s="1" t="s">
        <v>1298</v>
      </c>
      <c r="F58" s="1" t="s">
        <v>1298</v>
      </c>
      <c r="G58" s="1" t="s">
        <v>465</v>
      </c>
      <c r="H58" s="1" t="s">
        <v>894</v>
      </c>
      <c r="I58" s="1" t="s">
        <v>836</v>
      </c>
      <c r="J58" s="1" t="s">
        <v>230</v>
      </c>
      <c r="K58" s="1" t="s">
        <v>85</v>
      </c>
      <c r="L58" s="5">
        <v>4660</v>
      </c>
      <c r="M58" s="1" t="s">
        <v>993</v>
      </c>
      <c r="N58" s="6">
        <v>45945</v>
      </c>
      <c r="O58" s="6">
        <v>46022</v>
      </c>
      <c r="P58" s="1" t="s">
        <v>1357</v>
      </c>
    </row>
    <row r="59" spans="1:16" hidden="1" x14ac:dyDescent="0.25">
      <c r="A59" s="4">
        <v>55</v>
      </c>
      <c r="B59" s="2" t="str">
        <f>HYPERLINK("https://my.zakupivli.pro/remote/dispatcher/state_purchase_view/62855489", "UA-2025-10-22-001710-a")</f>
        <v>UA-2025-10-22-001710-a</v>
      </c>
      <c r="C59" s="2" t="str">
        <f>HYPERLINK("https://my.zakupivli.pro/remote/dispatcher/state_contracting_view/25589821", "UA-2025-10-22-001710-a-b1")</f>
        <v>UA-2025-10-22-001710-a-b1</v>
      </c>
      <c r="D59" s="1" t="s">
        <v>294</v>
      </c>
      <c r="E59" s="1" t="s">
        <v>1303</v>
      </c>
      <c r="F59" s="1" t="s">
        <v>1303</v>
      </c>
      <c r="G59" s="1" t="s">
        <v>549</v>
      </c>
      <c r="H59" s="1" t="s">
        <v>894</v>
      </c>
      <c r="I59" s="1" t="s">
        <v>960</v>
      </c>
      <c r="J59" s="1" t="s">
        <v>306</v>
      </c>
      <c r="K59" s="1" t="s">
        <v>31</v>
      </c>
      <c r="L59" s="5">
        <v>12993.24</v>
      </c>
      <c r="M59" s="1" t="s">
        <v>993</v>
      </c>
      <c r="N59" s="6">
        <v>45952</v>
      </c>
      <c r="O59" s="6">
        <v>46022</v>
      </c>
      <c r="P59" s="1" t="s">
        <v>1357</v>
      </c>
    </row>
    <row r="60" spans="1:16" hidden="1" x14ac:dyDescent="0.25">
      <c r="A60" s="4">
        <v>56</v>
      </c>
      <c r="B60" s="2" t="str">
        <f>HYPERLINK("https://my.zakupivli.pro/remote/dispatcher/state_purchase_view/62282414", "UA-2025-09-29-005970-a")</f>
        <v>UA-2025-09-29-005970-a</v>
      </c>
      <c r="C60" s="2" t="str">
        <f>HYPERLINK("https://my.zakupivli.pro/remote/dispatcher/state_contracting_view/25451208", "UA-2025-09-29-005970-a-a1")</f>
        <v>UA-2025-09-29-005970-a-a1</v>
      </c>
      <c r="D60" s="1" t="s">
        <v>594</v>
      </c>
      <c r="E60" s="1" t="s">
        <v>1105</v>
      </c>
      <c r="F60" s="1" t="s">
        <v>1104</v>
      </c>
      <c r="G60" s="1" t="s">
        <v>421</v>
      </c>
      <c r="H60" s="1" t="s">
        <v>854</v>
      </c>
      <c r="I60" s="1" t="s">
        <v>1314</v>
      </c>
      <c r="J60" s="1" t="s">
        <v>377</v>
      </c>
      <c r="K60" s="1" t="s">
        <v>104</v>
      </c>
      <c r="L60" s="5">
        <v>942331.78</v>
      </c>
      <c r="M60" s="1" t="s">
        <v>1293</v>
      </c>
      <c r="N60" s="6">
        <v>45947</v>
      </c>
      <c r="O60" s="6">
        <v>46022</v>
      </c>
      <c r="P60" s="1" t="s">
        <v>1357</v>
      </c>
    </row>
    <row r="61" spans="1:16" hidden="1" x14ac:dyDescent="0.25">
      <c r="A61" s="4">
        <v>57</v>
      </c>
      <c r="B61" s="2" t="str">
        <f>HYPERLINK("https://my.zakupivli.pro/remote/dispatcher/state_purchase_view/61213381", "UA-2025-08-11-007303-a")</f>
        <v>UA-2025-08-11-007303-a</v>
      </c>
      <c r="C61" s="2" t="str">
        <f>HYPERLINK("https://my.zakupivli.pro/remote/dispatcher/state_contracting_view/24884037", "UA-2025-08-11-007303-a-c1")</f>
        <v>UA-2025-08-11-007303-a-c1</v>
      </c>
      <c r="D61" s="1" t="s">
        <v>701</v>
      </c>
      <c r="E61" s="1" t="s">
        <v>860</v>
      </c>
      <c r="F61" s="1" t="s">
        <v>1036</v>
      </c>
      <c r="G61" s="1" t="s">
        <v>132</v>
      </c>
      <c r="H61" s="1" t="s">
        <v>894</v>
      </c>
      <c r="I61" s="1" t="s">
        <v>1289</v>
      </c>
      <c r="J61" s="1" t="s">
        <v>168</v>
      </c>
      <c r="K61" s="1" t="s">
        <v>630</v>
      </c>
      <c r="L61" s="5">
        <v>3000</v>
      </c>
      <c r="M61" s="1" t="s">
        <v>993</v>
      </c>
      <c r="N61" s="6">
        <v>45880</v>
      </c>
      <c r="O61" s="6">
        <v>46022</v>
      </c>
      <c r="P61" s="1" t="s">
        <v>1357</v>
      </c>
    </row>
    <row r="62" spans="1:16" hidden="1" x14ac:dyDescent="0.25">
      <c r="A62" s="4">
        <v>58</v>
      </c>
      <c r="B62" s="2" t="str">
        <f>HYPERLINK("https://my.zakupivli.pro/remote/dispatcher/state_purchase_view/61656825", "UA-2025-09-02-007504-a")</f>
        <v>UA-2025-09-02-007504-a</v>
      </c>
      <c r="C62" s="2" t="str">
        <f>HYPERLINK("https://my.zakupivli.pro/remote/dispatcher/state_contracting_view/25076667", "UA-2025-09-02-007504-a-b1")</f>
        <v>UA-2025-09-02-007504-a-b1</v>
      </c>
      <c r="D62" s="1" t="s">
        <v>757</v>
      </c>
      <c r="E62" s="1" t="s">
        <v>989</v>
      </c>
      <c r="F62" s="1" t="s">
        <v>841</v>
      </c>
      <c r="G62" s="1" t="s">
        <v>51</v>
      </c>
      <c r="H62" s="1" t="s">
        <v>894</v>
      </c>
      <c r="I62" s="1" t="s">
        <v>1264</v>
      </c>
      <c r="J62" s="1" t="s">
        <v>398</v>
      </c>
      <c r="K62" s="1" t="s">
        <v>486</v>
      </c>
      <c r="L62" s="5">
        <v>2972.37</v>
      </c>
      <c r="M62" s="1" t="s">
        <v>1293</v>
      </c>
      <c r="N62" s="6">
        <v>45901</v>
      </c>
      <c r="O62" s="6">
        <v>46022</v>
      </c>
      <c r="P62" s="1" t="s">
        <v>1357</v>
      </c>
    </row>
    <row r="63" spans="1:16" hidden="1" x14ac:dyDescent="0.25">
      <c r="A63" s="4">
        <v>59</v>
      </c>
      <c r="B63" s="2" t="str">
        <f>HYPERLINK("https://my.zakupivli.pro/remote/dispatcher/state_purchase_view/56435193", "UA-2025-01-09-009150-a")</f>
        <v>UA-2025-01-09-009150-a</v>
      </c>
      <c r="C63" s="2" t="str">
        <f>HYPERLINK("https://my.zakupivli.pro/remote/dispatcher/state_contracting_view/22807951", "UA-2025-01-09-009150-a-a1")</f>
        <v>UA-2025-01-09-009150-a-a1</v>
      </c>
      <c r="D63" s="1" t="s">
        <v>25</v>
      </c>
      <c r="E63" s="1" t="s">
        <v>1169</v>
      </c>
      <c r="F63" s="1" t="s">
        <v>1169</v>
      </c>
      <c r="G63" s="1" t="s">
        <v>551</v>
      </c>
      <c r="H63" s="1" t="s">
        <v>894</v>
      </c>
      <c r="I63" s="1" t="s">
        <v>830</v>
      </c>
      <c r="J63" s="1" t="s">
        <v>232</v>
      </c>
      <c r="K63" s="1" t="s">
        <v>61</v>
      </c>
      <c r="L63" s="5">
        <v>36000</v>
      </c>
      <c r="M63" s="1" t="s">
        <v>993</v>
      </c>
      <c r="N63" s="6">
        <v>45666</v>
      </c>
      <c r="O63" s="6">
        <v>46022</v>
      </c>
      <c r="P63" s="1" t="s">
        <v>1357</v>
      </c>
    </row>
    <row r="64" spans="1:16" hidden="1" x14ac:dyDescent="0.25">
      <c r="A64" s="4">
        <v>60</v>
      </c>
      <c r="B64" s="2" t="str">
        <f>HYPERLINK("https://my.zakupivli.pro/remote/dispatcher/state_purchase_view/62605466", "UA-2025-10-13-007203-a")</f>
        <v>UA-2025-10-13-007203-a</v>
      </c>
      <c r="C64" s="2" t="str">
        <f>HYPERLINK("https://my.zakupivli.pro/remote/dispatcher/state_contracting_view/25485198", "UA-2025-10-13-007203-a-a1")</f>
        <v>UA-2025-10-13-007203-a-a1</v>
      </c>
      <c r="D64" s="1" t="s">
        <v>251</v>
      </c>
      <c r="E64" s="1" t="s">
        <v>875</v>
      </c>
      <c r="F64" s="1" t="s">
        <v>875</v>
      </c>
      <c r="G64" s="1" t="s">
        <v>525</v>
      </c>
      <c r="H64" s="1" t="s">
        <v>894</v>
      </c>
      <c r="I64" s="1" t="s">
        <v>819</v>
      </c>
      <c r="J64" s="1" t="s">
        <v>149</v>
      </c>
      <c r="K64" s="1" t="s">
        <v>18</v>
      </c>
      <c r="L64" s="5">
        <v>3181.69</v>
      </c>
      <c r="M64" s="1" t="s">
        <v>993</v>
      </c>
      <c r="N64" s="6">
        <v>45943</v>
      </c>
      <c r="O64" s="6">
        <v>46022</v>
      </c>
      <c r="P64" s="1" t="s">
        <v>1357</v>
      </c>
    </row>
    <row r="65" spans="1:16" hidden="1" x14ac:dyDescent="0.25">
      <c r="A65" s="4">
        <v>61</v>
      </c>
      <c r="B65" s="2" t="str">
        <f>HYPERLINK("https://my.zakupivli.pro/remote/dispatcher/state_purchase_view/61936561", "UA-2025-09-15-003700-a")</f>
        <v>UA-2025-09-15-003700-a</v>
      </c>
      <c r="C65" s="2" t="str">
        <f>HYPERLINK("https://my.zakupivli.pro/remote/dispatcher/state_contracting_view/25198148", "UA-2025-09-15-003700-a-c1")</f>
        <v>UA-2025-09-15-003700-a-c1</v>
      </c>
      <c r="D65" s="1" t="s">
        <v>617</v>
      </c>
      <c r="E65" s="1" t="s">
        <v>901</v>
      </c>
      <c r="F65" s="1" t="s">
        <v>901</v>
      </c>
      <c r="G65" s="1" t="s">
        <v>315</v>
      </c>
      <c r="H65" s="1" t="s">
        <v>894</v>
      </c>
      <c r="I65" s="1" t="s">
        <v>1018</v>
      </c>
      <c r="J65" s="1" t="s">
        <v>330</v>
      </c>
      <c r="K65" s="1" t="s">
        <v>88</v>
      </c>
      <c r="L65" s="4">
        <v>5337</v>
      </c>
      <c r="M65" s="1" t="s">
        <v>1293</v>
      </c>
      <c r="N65" s="6">
        <v>45915</v>
      </c>
      <c r="O65" s="6">
        <v>46022</v>
      </c>
      <c r="P65" s="1" t="s">
        <v>1357</v>
      </c>
    </row>
    <row r="66" spans="1:16" hidden="1" x14ac:dyDescent="0.25">
      <c r="A66" s="4">
        <v>62</v>
      </c>
      <c r="B66" s="2" t="str">
        <f>HYPERLINK("https://my.zakupivli.pro/remote/dispatcher/state_purchase_view/61213965", "UA-2025-08-11-007573-a")</f>
        <v>UA-2025-08-11-007573-a</v>
      </c>
      <c r="C66" s="2" t="str">
        <f>HYPERLINK("https://my.zakupivli.pro/remote/dispatcher/state_contracting_view/24884275", "UA-2025-08-11-007573-a-c1")</f>
        <v>UA-2025-08-11-007573-a-c1</v>
      </c>
      <c r="D66" s="1" t="s">
        <v>493</v>
      </c>
      <c r="E66" s="1" t="s">
        <v>858</v>
      </c>
      <c r="F66" s="1" t="s">
        <v>1358</v>
      </c>
      <c r="G66" s="1" t="s">
        <v>405</v>
      </c>
      <c r="H66" s="1" t="s">
        <v>894</v>
      </c>
      <c r="I66" s="1" t="s">
        <v>1289</v>
      </c>
      <c r="J66" s="1" t="s">
        <v>168</v>
      </c>
      <c r="K66" s="1" t="s">
        <v>630</v>
      </c>
      <c r="L66" s="5">
        <v>625</v>
      </c>
      <c r="M66" s="1" t="s">
        <v>993</v>
      </c>
      <c r="N66" s="6">
        <v>45880</v>
      </c>
      <c r="O66" s="6">
        <v>46022</v>
      </c>
      <c r="P66" s="1" t="s">
        <v>1357</v>
      </c>
    </row>
    <row r="67" spans="1:16" hidden="1" x14ac:dyDescent="0.25">
      <c r="A67" s="4">
        <v>63</v>
      </c>
      <c r="B67" s="2" t="str">
        <f>HYPERLINK("https://my.zakupivli.pro/remote/dispatcher/state_purchase_view/64123321", "UA-2025-12-04-018794-a")</f>
        <v>UA-2025-12-04-018794-a</v>
      </c>
      <c r="C67" s="2" t="str">
        <f>HYPERLINK("https://my.zakupivli.pro/remote/dispatcher/state_contracting_view/26134377", "UA-2025-12-04-018794-a-a1")</f>
        <v>UA-2025-12-04-018794-a-a1</v>
      </c>
      <c r="D67" s="1" t="s">
        <v>772</v>
      </c>
      <c r="E67" s="1" t="s">
        <v>1051</v>
      </c>
      <c r="F67" s="1" t="s">
        <v>1050</v>
      </c>
      <c r="G67" s="1" t="s">
        <v>328</v>
      </c>
      <c r="H67" s="1" t="s">
        <v>894</v>
      </c>
      <c r="I67" s="1" t="s">
        <v>1275</v>
      </c>
      <c r="J67" s="1" t="s">
        <v>410</v>
      </c>
      <c r="K67" s="1" t="s">
        <v>204</v>
      </c>
      <c r="L67" s="5">
        <v>21700</v>
      </c>
      <c r="M67" s="1" t="s">
        <v>1293</v>
      </c>
      <c r="N67" s="6">
        <v>45995</v>
      </c>
      <c r="O67" s="6">
        <v>46022</v>
      </c>
      <c r="P67" s="1" t="s">
        <v>1357</v>
      </c>
    </row>
    <row r="68" spans="1:16" hidden="1" x14ac:dyDescent="0.25">
      <c r="A68" s="4">
        <v>64</v>
      </c>
      <c r="B68" s="2" t="str">
        <f>HYPERLINK("https://my.zakupivli.pro/remote/dispatcher/state_purchase_view/56433683", "UA-2025-01-09-008496-a")</f>
        <v>UA-2025-01-09-008496-a</v>
      </c>
      <c r="C68" s="2" t="str">
        <f>HYPERLINK("https://my.zakupivli.pro/remote/dispatcher/state_contracting_view/22807356", "UA-2025-01-09-008496-a-b1")</f>
        <v>UA-2025-01-09-008496-a-b1</v>
      </c>
      <c r="D68" s="1" t="s">
        <v>693</v>
      </c>
      <c r="E68" s="1" t="s">
        <v>1154</v>
      </c>
      <c r="F68" s="1" t="s">
        <v>1154</v>
      </c>
      <c r="G68" s="1" t="s">
        <v>438</v>
      </c>
      <c r="H68" s="1" t="s">
        <v>894</v>
      </c>
      <c r="I68" s="1" t="s">
        <v>1262</v>
      </c>
      <c r="J68" s="1" t="s">
        <v>324</v>
      </c>
      <c r="K68" s="1" t="s">
        <v>259</v>
      </c>
      <c r="L68" s="5">
        <v>31300</v>
      </c>
      <c r="M68" s="1" t="s">
        <v>993</v>
      </c>
      <c r="N68" s="6">
        <v>45666</v>
      </c>
      <c r="O68" s="6">
        <v>46022</v>
      </c>
      <c r="P68" s="1" t="s">
        <v>1357</v>
      </c>
    </row>
    <row r="69" spans="1:16" hidden="1" x14ac:dyDescent="0.25">
      <c r="A69" s="4">
        <v>65</v>
      </c>
      <c r="B69" s="2" t="str">
        <f>HYPERLINK("https://my.zakupivli.pro/remote/dispatcher/state_purchase_view/64122448", "UA-2025-12-04-018395-a")</f>
        <v>UA-2025-12-04-018395-a</v>
      </c>
      <c r="C69" s="2" t="str">
        <f>HYPERLINK("https://my.zakupivli.pro/remote/dispatcher/state_contracting_view/26134009", "UA-2025-12-04-018395-a-a1")</f>
        <v>UA-2025-12-04-018395-a-a1</v>
      </c>
      <c r="D69" s="1" t="s">
        <v>609</v>
      </c>
      <c r="E69" s="1" t="s">
        <v>661</v>
      </c>
      <c r="F69" s="1" t="s">
        <v>660</v>
      </c>
      <c r="G69" s="1" t="s">
        <v>328</v>
      </c>
      <c r="H69" s="1" t="s">
        <v>894</v>
      </c>
      <c r="I69" s="1" t="s">
        <v>1275</v>
      </c>
      <c r="J69" s="1" t="s">
        <v>410</v>
      </c>
      <c r="K69" s="1" t="s">
        <v>204</v>
      </c>
      <c r="L69" s="5">
        <v>8050</v>
      </c>
      <c r="M69" s="1" t="s">
        <v>1293</v>
      </c>
      <c r="N69" s="6">
        <v>45995</v>
      </c>
      <c r="O69" s="6">
        <v>46022</v>
      </c>
      <c r="P69" s="1" t="s">
        <v>1357</v>
      </c>
    </row>
    <row r="70" spans="1:16" hidden="1" x14ac:dyDescent="0.25">
      <c r="A70" s="4">
        <v>66</v>
      </c>
      <c r="B70" s="2" t="str">
        <f>HYPERLINK("https://my.zakupivli.pro/remote/dispatcher/state_purchase_view/56439821", "UA-2025-01-10-000313-a")</f>
        <v>UA-2025-01-10-000313-a</v>
      </c>
      <c r="C70" s="2" t="str">
        <f>HYPERLINK("https://my.zakupivli.pro/remote/dispatcher/state_contracting_view/22809875", "UA-2025-01-10-000313-a-c1")</f>
        <v>UA-2025-01-10-000313-a-c1</v>
      </c>
      <c r="D70" s="1" t="s">
        <v>252</v>
      </c>
      <c r="E70" s="1" t="s">
        <v>1089</v>
      </c>
      <c r="F70" s="1" t="s">
        <v>1089</v>
      </c>
      <c r="G70" s="1" t="s">
        <v>520</v>
      </c>
      <c r="H70" s="1" t="s">
        <v>894</v>
      </c>
      <c r="I70" s="1" t="s">
        <v>820</v>
      </c>
      <c r="J70" s="1" t="s">
        <v>154</v>
      </c>
      <c r="K70" s="1" t="s">
        <v>94</v>
      </c>
      <c r="L70" s="5">
        <v>3348</v>
      </c>
      <c r="M70" s="1" t="s">
        <v>1293</v>
      </c>
      <c r="N70" s="6">
        <v>45666</v>
      </c>
      <c r="O70" s="6">
        <v>46022</v>
      </c>
      <c r="P70" s="1" t="s">
        <v>1357</v>
      </c>
    </row>
    <row r="71" spans="1:16" hidden="1" x14ac:dyDescent="0.25">
      <c r="A71" s="4">
        <v>67</v>
      </c>
      <c r="B71" s="2" t="str">
        <f>HYPERLINK("https://my.zakupivli.pro/remote/dispatcher/state_purchase_view/63560562", "UA-2025-11-18-003632-a")</f>
        <v>UA-2025-11-18-003632-a</v>
      </c>
      <c r="C71" s="2" t="str">
        <f>HYPERLINK("https://my.zakupivli.pro/remote/dispatcher/state_contracting_view/25895497", "UA-2025-11-18-003632-a-a1")</f>
        <v>UA-2025-11-18-003632-a-a1</v>
      </c>
      <c r="D71" s="1" t="s">
        <v>705</v>
      </c>
      <c r="E71" s="1" t="s">
        <v>940</v>
      </c>
      <c r="F71" s="1" t="s">
        <v>941</v>
      </c>
      <c r="G71" s="1" t="s">
        <v>261</v>
      </c>
      <c r="H71" s="1" t="s">
        <v>894</v>
      </c>
      <c r="I71" s="1" t="s">
        <v>1024</v>
      </c>
      <c r="J71" s="1" t="s">
        <v>274</v>
      </c>
      <c r="K71" s="1" t="s">
        <v>478</v>
      </c>
      <c r="L71" s="4">
        <v>7044</v>
      </c>
      <c r="M71" s="1" t="s">
        <v>1293</v>
      </c>
      <c r="N71" s="6">
        <v>45979</v>
      </c>
      <c r="O71" s="6">
        <v>46022</v>
      </c>
      <c r="P71" s="1" t="s">
        <v>1357</v>
      </c>
    </row>
    <row r="72" spans="1:16" hidden="1" x14ac:dyDescent="0.25">
      <c r="A72" s="4">
        <v>68</v>
      </c>
      <c r="B72" s="2" t="str">
        <f>HYPERLINK("https://my.zakupivli.pro/remote/dispatcher/state_purchase_view/64120673", "UA-2025-12-04-017626-a")</f>
        <v>UA-2025-12-04-017626-a</v>
      </c>
      <c r="C72" s="2" t="str">
        <f>HYPERLINK("https://my.zakupivli.pro/remote/dispatcher/state_contracting_view/26133269", "UA-2025-12-04-017626-a-c1")</f>
        <v>UA-2025-12-04-017626-a-c1</v>
      </c>
      <c r="D72" s="1" t="s">
        <v>567</v>
      </c>
      <c r="E72" s="1" t="s">
        <v>1346</v>
      </c>
      <c r="F72" s="1" t="s">
        <v>1345</v>
      </c>
      <c r="G72" s="1" t="s">
        <v>325</v>
      </c>
      <c r="H72" s="1" t="s">
        <v>894</v>
      </c>
      <c r="I72" s="1" t="s">
        <v>1227</v>
      </c>
      <c r="J72" s="1" t="s">
        <v>167</v>
      </c>
      <c r="K72" s="1" t="s">
        <v>42</v>
      </c>
      <c r="L72" s="5">
        <v>19999</v>
      </c>
      <c r="M72" s="1" t="s">
        <v>993</v>
      </c>
      <c r="N72" s="6">
        <v>45995</v>
      </c>
      <c r="O72" s="6">
        <v>46022</v>
      </c>
      <c r="P72" s="1" t="s">
        <v>1357</v>
      </c>
    </row>
    <row r="73" spans="1:16" hidden="1" x14ac:dyDescent="0.25">
      <c r="A73" s="4">
        <v>69</v>
      </c>
      <c r="B73" s="2" t="str">
        <f>HYPERLINK("https://my.zakupivli.pro/remote/dispatcher/state_purchase_view/64121380", "UA-2025-12-04-017897-a")</f>
        <v>UA-2025-12-04-017897-a</v>
      </c>
      <c r="C73" s="2" t="str">
        <f>HYPERLINK("https://my.zakupivli.pro/remote/dispatcher/state_contracting_view/26133550", "UA-2025-12-04-017897-a-b1")</f>
        <v>UA-2025-12-04-017897-a-b1</v>
      </c>
      <c r="D73" s="1" t="s">
        <v>611</v>
      </c>
      <c r="E73" s="1" t="s">
        <v>944</v>
      </c>
      <c r="F73" s="1" t="s">
        <v>943</v>
      </c>
      <c r="G73" s="1" t="s">
        <v>325</v>
      </c>
      <c r="H73" s="1" t="s">
        <v>894</v>
      </c>
      <c r="I73" s="1" t="s">
        <v>832</v>
      </c>
      <c r="J73" s="1" t="s">
        <v>241</v>
      </c>
      <c r="K73" s="1" t="s">
        <v>203</v>
      </c>
      <c r="L73" s="5">
        <v>27996</v>
      </c>
      <c r="M73" s="1" t="s">
        <v>993</v>
      </c>
      <c r="N73" s="6">
        <v>45995</v>
      </c>
      <c r="O73" s="6">
        <v>46022</v>
      </c>
      <c r="P73" s="1" t="s">
        <v>1357</v>
      </c>
    </row>
    <row r="74" spans="1:16" hidden="1" x14ac:dyDescent="0.25">
      <c r="A74" s="4">
        <v>70</v>
      </c>
      <c r="B74" s="2" t="str">
        <f>HYPERLINK("https://my.zakupivli.pro/remote/dispatcher/state_purchase_view/56414964", "UA-2025-01-09-000588-a")</f>
        <v>UA-2025-01-09-000588-a</v>
      </c>
      <c r="C74" s="2" t="str">
        <f>HYPERLINK("https://my.zakupivli.pro/remote/dispatcher/state_contracting_view/22799826", "UA-2025-01-09-000588-a-b1")</f>
        <v>UA-2025-01-09-000588-a-b1</v>
      </c>
      <c r="D74" s="1" t="s">
        <v>686</v>
      </c>
      <c r="E74" s="1" t="s">
        <v>1083</v>
      </c>
      <c r="F74" s="1" t="s">
        <v>1083</v>
      </c>
      <c r="G74" s="1" t="s">
        <v>469</v>
      </c>
      <c r="H74" s="1" t="s">
        <v>894</v>
      </c>
      <c r="I74" s="1" t="s">
        <v>1018</v>
      </c>
      <c r="J74" s="1" t="s">
        <v>330</v>
      </c>
      <c r="K74" s="1" t="s">
        <v>432</v>
      </c>
      <c r="L74" s="5">
        <v>10080</v>
      </c>
      <c r="M74" s="1" t="s">
        <v>1293</v>
      </c>
      <c r="N74" s="6">
        <v>45665</v>
      </c>
      <c r="O74" s="6">
        <v>46022</v>
      </c>
      <c r="P74" s="1" t="s">
        <v>1357</v>
      </c>
    </row>
    <row r="75" spans="1:16" hidden="1" x14ac:dyDescent="0.25">
      <c r="A75" s="4">
        <v>71</v>
      </c>
      <c r="B75" s="2" t="str">
        <f>HYPERLINK("https://my.zakupivli.pro/remote/dispatcher/state_purchase_view/56414302", "UA-2025-01-09-000332-a")</f>
        <v>UA-2025-01-09-000332-a</v>
      </c>
      <c r="C75" s="2" t="str">
        <f>HYPERLINK("https://my.zakupivli.pro/remote/dispatcher/state_contracting_view/22799396", "UA-2025-01-09-000332-a-c1")</f>
        <v>UA-2025-01-09-000332-a-c1</v>
      </c>
      <c r="D75" s="1" t="s">
        <v>539</v>
      </c>
      <c r="E75" s="1" t="s">
        <v>1327</v>
      </c>
      <c r="F75" s="1" t="s">
        <v>1132</v>
      </c>
      <c r="G75" s="1" t="s">
        <v>632</v>
      </c>
      <c r="H75" s="1" t="s">
        <v>894</v>
      </c>
      <c r="I75" s="1" t="s">
        <v>1019</v>
      </c>
      <c r="J75" s="1" t="s">
        <v>36</v>
      </c>
      <c r="K75" s="1" t="s">
        <v>667</v>
      </c>
      <c r="L75" s="5">
        <v>18087.63</v>
      </c>
      <c r="M75" s="1" t="s">
        <v>1293</v>
      </c>
      <c r="N75" s="6">
        <v>45665</v>
      </c>
      <c r="O75" s="6">
        <v>46022</v>
      </c>
      <c r="P75" s="1" t="s">
        <v>1357</v>
      </c>
    </row>
    <row r="76" spans="1:16" hidden="1" x14ac:dyDescent="0.25">
      <c r="A76" s="4">
        <v>72</v>
      </c>
      <c r="B76" s="2" t="str">
        <f>HYPERLINK("https://my.zakupivli.pro/remote/dispatcher/state_purchase_view/56431932", "UA-2025-01-09-007771-a")</f>
        <v>UA-2025-01-09-007771-a</v>
      </c>
      <c r="C76" s="2" t="str">
        <f>HYPERLINK("https://my.zakupivli.pro/remote/dispatcher/state_contracting_view/22806732", "UA-2025-01-09-007771-a-c1")</f>
        <v>UA-2025-01-09-007771-a-c1</v>
      </c>
      <c r="D76" s="1" t="s">
        <v>639</v>
      </c>
      <c r="E76" s="1" t="s">
        <v>1364</v>
      </c>
      <c r="F76" s="1" t="s">
        <v>1364</v>
      </c>
      <c r="G76" s="1" t="s">
        <v>631</v>
      </c>
      <c r="H76" s="1" t="s">
        <v>894</v>
      </c>
      <c r="I76" s="1" t="s">
        <v>920</v>
      </c>
      <c r="J76" s="1" t="s">
        <v>37</v>
      </c>
      <c r="K76" s="1" t="s">
        <v>627</v>
      </c>
      <c r="L76" s="5">
        <v>11861.82</v>
      </c>
      <c r="M76" s="1" t="s">
        <v>1293</v>
      </c>
      <c r="N76" s="6">
        <v>45666</v>
      </c>
      <c r="O76" s="6">
        <v>46022</v>
      </c>
      <c r="P76" s="1" t="s">
        <v>1357</v>
      </c>
    </row>
    <row r="77" spans="1:16" hidden="1" x14ac:dyDescent="0.25">
      <c r="A77" s="4">
        <v>73</v>
      </c>
      <c r="B77" s="2" t="str">
        <f>HYPERLINK("https://my.zakupivli.pro/remote/dispatcher/state_purchase_view/61131505", "UA-2025-08-06-007121-a")</f>
        <v>UA-2025-08-06-007121-a</v>
      </c>
      <c r="C77" s="2" t="str">
        <f>HYPERLINK("https://my.zakupivli.pro/remote/dispatcher/state_contracting_view/24848215", "UA-2025-08-06-007121-a-a1")</f>
        <v>UA-2025-08-06-007121-a-a1</v>
      </c>
      <c r="D77" s="1" t="s">
        <v>497</v>
      </c>
      <c r="E77" s="1" t="s">
        <v>1173</v>
      </c>
      <c r="F77" s="1" t="s">
        <v>1365</v>
      </c>
      <c r="G77" s="1" t="s">
        <v>438</v>
      </c>
      <c r="H77" s="1" t="s">
        <v>894</v>
      </c>
      <c r="I77" s="1" t="s">
        <v>834</v>
      </c>
      <c r="J77" s="1" t="s">
        <v>191</v>
      </c>
      <c r="K77" s="1" t="s">
        <v>199</v>
      </c>
      <c r="L77" s="5">
        <v>3700</v>
      </c>
      <c r="M77" s="1" t="s">
        <v>993</v>
      </c>
      <c r="N77" s="6">
        <v>45875</v>
      </c>
      <c r="O77" s="6">
        <v>46022</v>
      </c>
      <c r="P77" s="1" t="s">
        <v>1357</v>
      </c>
    </row>
    <row r="78" spans="1:16" hidden="1" x14ac:dyDescent="0.25">
      <c r="A78" s="4">
        <v>74</v>
      </c>
      <c r="B78" s="2" t="str">
        <f>HYPERLINK("https://my.zakupivli.pro/remote/dispatcher/state_purchase_view/61211211", "UA-2025-08-11-006313-a")</f>
        <v>UA-2025-08-11-006313-a</v>
      </c>
      <c r="C78" s="2" t="str">
        <f>HYPERLINK("https://my.zakupivli.pro/remote/dispatcher/state_contracting_view/24883113", "UA-2025-08-11-006313-a-c1")</f>
        <v>UA-2025-08-11-006313-a-c1</v>
      </c>
      <c r="D78" s="1" t="s">
        <v>723</v>
      </c>
      <c r="E78" s="1" t="s">
        <v>861</v>
      </c>
      <c r="F78" s="1" t="s">
        <v>900</v>
      </c>
      <c r="G78" s="1" t="s">
        <v>356</v>
      </c>
      <c r="H78" s="1" t="s">
        <v>894</v>
      </c>
      <c r="I78" s="1" t="s">
        <v>1289</v>
      </c>
      <c r="J78" s="1" t="s">
        <v>168</v>
      </c>
      <c r="K78" s="1" t="s">
        <v>630</v>
      </c>
      <c r="L78" s="4">
        <v>1610</v>
      </c>
      <c r="M78" s="1" t="s">
        <v>993</v>
      </c>
      <c r="N78" s="6">
        <v>45880</v>
      </c>
      <c r="O78" s="6">
        <v>46022</v>
      </c>
      <c r="P78" s="1" t="s">
        <v>1357</v>
      </c>
    </row>
    <row r="79" spans="1:16" hidden="1" x14ac:dyDescent="0.25">
      <c r="A79" s="4">
        <v>75</v>
      </c>
      <c r="B79" s="2" t="str">
        <f>HYPERLINK("https://my.zakupivli.pro/remote/dispatcher/state_purchase_view/62166692", "UA-2025-09-24-000330-a")</f>
        <v>UA-2025-09-24-000330-a</v>
      </c>
      <c r="C79" s="2" t="str">
        <f>HYPERLINK("https://my.zakupivli.pro/remote/dispatcher/state_contracting_view/25296637", "UA-2025-09-24-000330-a-c1")</f>
        <v>UA-2025-09-24-000330-a-c1</v>
      </c>
      <c r="D79" s="1" t="s">
        <v>703</v>
      </c>
      <c r="E79" s="1" t="s">
        <v>936</v>
      </c>
      <c r="F79" s="1" t="s">
        <v>934</v>
      </c>
      <c r="G79" s="1" t="s">
        <v>264</v>
      </c>
      <c r="H79" s="1" t="s">
        <v>894</v>
      </c>
      <c r="I79" s="1" t="s">
        <v>1289</v>
      </c>
      <c r="J79" s="1" t="s">
        <v>168</v>
      </c>
      <c r="K79" s="1" t="s">
        <v>67</v>
      </c>
      <c r="L79" s="5">
        <v>9060</v>
      </c>
      <c r="M79" s="1" t="s">
        <v>993</v>
      </c>
      <c r="N79" s="6">
        <v>45924</v>
      </c>
      <c r="O79" s="6">
        <v>46022</v>
      </c>
      <c r="P79" s="1" t="s">
        <v>1357</v>
      </c>
    </row>
    <row r="80" spans="1:16" hidden="1" x14ac:dyDescent="0.25">
      <c r="A80" s="4">
        <v>76</v>
      </c>
      <c r="B80" s="2" t="str">
        <f>HYPERLINK("https://my.zakupivli.pro/remote/dispatcher/state_purchase_view/64708771", "UA-2025-12-19-011183-a")</f>
        <v>UA-2025-12-19-011183-a</v>
      </c>
      <c r="C80" s="2" t="str">
        <f>HYPERLINK("https://my.zakupivli.pro/remote/dispatcher/state_contracting_view/26389089", "UA-2025-12-19-011183-a-c1")</f>
        <v>UA-2025-12-19-011183-a-c1</v>
      </c>
      <c r="D80" s="1" t="s">
        <v>706</v>
      </c>
      <c r="E80" s="1" t="s">
        <v>1305</v>
      </c>
      <c r="F80" s="1" t="s">
        <v>1304</v>
      </c>
      <c r="G80" s="1" t="s">
        <v>549</v>
      </c>
      <c r="H80" s="1" t="s">
        <v>894</v>
      </c>
      <c r="I80" s="1" t="s">
        <v>960</v>
      </c>
      <c r="J80" s="1" t="s">
        <v>306</v>
      </c>
      <c r="K80" s="1" t="s">
        <v>47</v>
      </c>
      <c r="L80" s="5">
        <v>493.2</v>
      </c>
      <c r="M80" s="1" t="s">
        <v>993</v>
      </c>
      <c r="N80" s="6">
        <v>46010</v>
      </c>
      <c r="O80" s="6">
        <v>46022</v>
      </c>
      <c r="P80" s="1" t="s">
        <v>1357</v>
      </c>
    </row>
    <row r="81" spans="1:16" hidden="1" x14ac:dyDescent="0.25">
      <c r="A81" s="4">
        <v>77</v>
      </c>
      <c r="B81" s="2" t="str">
        <f>HYPERLINK("https://my.zakupivli.pro/remote/dispatcher/state_purchase_view/56409626", "UA-2025-01-08-007759-a")</f>
        <v>UA-2025-01-08-007759-a</v>
      </c>
      <c r="C81" s="2" t="str">
        <f>HYPERLINK("https://my.zakupivli.pro/remote/dispatcher/state_contracting_view/22797449", "UA-2025-01-08-007759-a-c1")</f>
        <v>UA-2025-01-08-007759-a-c1</v>
      </c>
      <c r="D81" s="1" t="s">
        <v>532</v>
      </c>
      <c r="E81" s="1" t="s">
        <v>887</v>
      </c>
      <c r="F81" s="1" t="s">
        <v>887</v>
      </c>
      <c r="G81" s="1" t="s">
        <v>53</v>
      </c>
      <c r="H81" s="1" t="s">
        <v>894</v>
      </c>
      <c r="I81" s="1" t="s">
        <v>1276</v>
      </c>
      <c r="J81" s="1" t="s">
        <v>384</v>
      </c>
      <c r="K81" s="1" t="s">
        <v>160</v>
      </c>
      <c r="L81" s="4">
        <v>141020</v>
      </c>
      <c r="M81" s="1" t="s">
        <v>1293</v>
      </c>
      <c r="N81" s="6">
        <v>45665</v>
      </c>
      <c r="O81" s="6">
        <v>46022</v>
      </c>
      <c r="P81" s="1" t="s">
        <v>1357</v>
      </c>
    </row>
    <row r="82" spans="1:16" hidden="1" x14ac:dyDescent="0.25">
      <c r="A82" s="4">
        <v>78</v>
      </c>
      <c r="B82" s="2" t="str">
        <f>HYPERLINK("https://my.zakupivli.pro/remote/dispatcher/state_purchase_view/52668156", "UA-2024-08-13-003707-a")</f>
        <v>UA-2024-08-13-003707-a</v>
      </c>
      <c r="C82" s="2" t="str">
        <f>HYPERLINK("https://my.zakupivli.pro/remote/dispatcher/state_contracting_view/21181607", "UA-2024-08-13-003707-a-c1")</f>
        <v>UA-2024-08-13-003707-a-c1</v>
      </c>
      <c r="D82" s="1" t="s">
        <v>570</v>
      </c>
      <c r="E82" s="1" t="s">
        <v>1096</v>
      </c>
      <c r="F82" s="1" t="s">
        <v>1096</v>
      </c>
      <c r="G82" s="1" t="s">
        <v>418</v>
      </c>
      <c r="H82" s="1" t="s">
        <v>894</v>
      </c>
      <c r="I82" s="1" t="s">
        <v>1256</v>
      </c>
      <c r="J82" s="1" t="s">
        <v>394</v>
      </c>
      <c r="K82" s="1" t="s">
        <v>148</v>
      </c>
      <c r="L82" s="5">
        <v>98680.74</v>
      </c>
      <c r="M82" s="1" t="s">
        <v>1293</v>
      </c>
      <c r="N82" s="6">
        <v>45517</v>
      </c>
      <c r="O82" s="6">
        <v>45657</v>
      </c>
      <c r="P82" s="1" t="s">
        <v>1357</v>
      </c>
    </row>
    <row r="83" spans="1:16" hidden="1" x14ac:dyDescent="0.25">
      <c r="A83" s="4">
        <v>79</v>
      </c>
      <c r="B83" s="2" t="str">
        <f>HYPERLINK("https://my.zakupivli.pro/remote/dispatcher/state_purchase_view/48254785", "UA-2024-01-10-003612-a")</f>
        <v>UA-2024-01-10-003612-a</v>
      </c>
      <c r="C83" s="2" t="str">
        <f>HYPERLINK("https://my.zakupivli.pro/remote/dispatcher/state_contracting_view/18865361", "UA-2024-01-10-003612-a-b1")</f>
        <v>UA-2024-01-10-003612-a-b1</v>
      </c>
      <c r="D83" s="1" t="s">
        <v>455</v>
      </c>
      <c r="E83" s="1" t="s">
        <v>887</v>
      </c>
      <c r="F83" s="1" t="s">
        <v>887</v>
      </c>
      <c r="G83" s="1" t="s">
        <v>53</v>
      </c>
      <c r="H83" s="1" t="s">
        <v>894</v>
      </c>
      <c r="I83" s="1" t="s">
        <v>1276</v>
      </c>
      <c r="J83" s="1" t="s">
        <v>384</v>
      </c>
      <c r="K83" s="1" t="s">
        <v>160</v>
      </c>
      <c r="L83" s="5">
        <v>94000</v>
      </c>
      <c r="M83" s="1" t="s">
        <v>1293</v>
      </c>
      <c r="N83" s="6">
        <v>45301</v>
      </c>
      <c r="O83" s="6">
        <v>45657</v>
      </c>
      <c r="P83" s="1" t="s">
        <v>1357</v>
      </c>
    </row>
    <row r="84" spans="1:16" hidden="1" x14ac:dyDescent="0.25">
      <c r="A84" s="4">
        <v>80</v>
      </c>
      <c r="B84" s="2" t="str">
        <f>HYPERLINK("https://my.zakupivli.pro/remote/dispatcher/state_purchase_view/51765998", "UA-2024-06-21-000762-a")</f>
        <v>UA-2024-06-21-000762-a</v>
      </c>
      <c r="C84" s="2" t="str">
        <f>HYPERLINK("https://my.zakupivli.pro/remote/dispatcher/state_contracting_view/20788288", "UA-2024-06-21-000762-a-a1")</f>
        <v>UA-2024-06-21-000762-a-a1</v>
      </c>
      <c r="D84" s="1" t="s">
        <v>727</v>
      </c>
      <c r="E84" s="1" t="s">
        <v>891</v>
      </c>
      <c r="F84" s="1" t="s">
        <v>892</v>
      </c>
      <c r="G84" s="1" t="s">
        <v>169</v>
      </c>
      <c r="H84" s="1" t="s">
        <v>894</v>
      </c>
      <c r="I84" s="1" t="s">
        <v>1265</v>
      </c>
      <c r="J84" s="1" t="s">
        <v>334</v>
      </c>
      <c r="K84" s="1" t="s">
        <v>75</v>
      </c>
      <c r="L84" s="5">
        <v>9780</v>
      </c>
      <c r="M84" s="1" t="s">
        <v>993</v>
      </c>
      <c r="N84" s="6">
        <v>45463</v>
      </c>
      <c r="O84" s="6">
        <v>45657</v>
      </c>
      <c r="P84" s="1" t="s">
        <v>1357</v>
      </c>
    </row>
    <row r="85" spans="1:16" hidden="1" x14ac:dyDescent="0.25">
      <c r="A85" s="4">
        <v>81</v>
      </c>
      <c r="B85" s="2" t="str">
        <f>HYPERLINK("https://my.zakupivli.pro/remote/dispatcher/state_purchase_view/50192907", "UA-2024-04-03-008378-a")</f>
        <v>UA-2024-04-03-008378-a</v>
      </c>
      <c r="C85" s="2" t="str">
        <f>HYPERLINK("https://my.zakupivli.pro/remote/dispatcher/state_contracting_view/19692218", "UA-2024-04-03-008378-a-b1")</f>
        <v>UA-2024-04-03-008378-a-b1</v>
      </c>
      <c r="D85" s="1" t="s">
        <v>751</v>
      </c>
      <c r="E85" s="1" t="s">
        <v>1232</v>
      </c>
      <c r="F85" s="1" t="s">
        <v>1232</v>
      </c>
      <c r="G85" s="1" t="s">
        <v>164</v>
      </c>
      <c r="H85" s="1" t="s">
        <v>894</v>
      </c>
      <c r="I85" s="1" t="s">
        <v>932</v>
      </c>
      <c r="J85" s="1" t="s">
        <v>280</v>
      </c>
      <c r="K85" s="1" t="s">
        <v>143</v>
      </c>
      <c r="L85" s="5">
        <v>3505.5</v>
      </c>
      <c r="M85" s="1" t="s">
        <v>993</v>
      </c>
      <c r="N85" s="6">
        <v>45385</v>
      </c>
      <c r="O85" s="6">
        <v>45657</v>
      </c>
      <c r="P85" s="1" t="s">
        <v>1357</v>
      </c>
    </row>
    <row r="86" spans="1:16" hidden="1" x14ac:dyDescent="0.25">
      <c r="A86" s="4">
        <v>82</v>
      </c>
      <c r="B86" s="2" t="str">
        <f>HYPERLINK("https://my.zakupivli.pro/remote/dispatcher/state_purchase_view/52518464", "UA-2024-08-05-007406-a")</f>
        <v>UA-2024-08-05-007406-a</v>
      </c>
      <c r="C86" s="2" t="str">
        <f>HYPERLINK("https://my.zakupivli.pro/remote/dispatcher/state_contracting_view/21116721", "UA-2024-08-05-007406-a-b1")</f>
        <v>UA-2024-08-05-007406-a-b1</v>
      </c>
      <c r="D86" s="1" t="s">
        <v>715</v>
      </c>
      <c r="E86" s="1" t="s">
        <v>1003</v>
      </c>
      <c r="F86" s="1" t="s">
        <v>1002</v>
      </c>
      <c r="G86" s="1" t="s">
        <v>355</v>
      </c>
      <c r="H86" s="1" t="s">
        <v>894</v>
      </c>
      <c r="I86" s="1" t="s">
        <v>1289</v>
      </c>
      <c r="J86" s="1" t="s">
        <v>168</v>
      </c>
      <c r="K86" s="1" t="s">
        <v>93</v>
      </c>
      <c r="L86" s="5">
        <v>1360</v>
      </c>
      <c r="M86" s="1" t="s">
        <v>993</v>
      </c>
      <c r="N86" s="6">
        <v>45509</v>
      </c>
      <c r="O86" s="6">
        <v>45657</v>
      </c>
      <c r="P86" s="1" t="s">
        <v>1357</v>
      </c>
    </row>
    <row r="87" spans="1:16" hidden="1" x14ac:dyDescent="0.25">
      <c r="A87" s="4">
        <v>83</v>
      </c>
      <c r="B87" s="2" t="str">
        <f>HYPERLINK("https://my.zakupivli.pro/remote/dispatcher/state_purchase_view/54643929", "UA-2024-11-08-004173-a")</f>
        <v>UA-2024-11-08-004173-a</v>
      </c>
      <c r="C87" s="2" t="str">
        <f>HYPERLINK("https://my.zakupivli.pro/remote/dispatcher/state_contracting_view/22031113", "UA-2024-11-08-004173-a-b1")</f>
        <v>UA-2024-11-08-004173-a-b1</v>
      </c>
      <c r="D87" s="1" t="s">
        <v>770</v>
      </c>
      <c r="E87" s="1" t="s">
        <v>290</v>
      </c>
      <c r="F87" s="1" t="s">
        <v>825</v>
      </c>
      <c r="G87" s="1" t="s">
        <v>289</v>
      </c>
      <c r="H87" s="1" t="s">
        <v>894</v>
      </c>
      <c r="I87" s="1" t="s">
        <v>1322</v>
      </c>
      <c r="J87" s="1" t="s">
        <v>240</v>
      </c>
      <c r="K87" s="1" t="s">
        <v>46</v>
      </c>
      <c r="L87" s="5">
        <v>76201</v>
      </c>
      <c r="M87" s="1" t="s">
        <v>993</v>
      </c>
      <c r="N87" s="6">
        <v>45602</v>
      </c>
      <c r="O87" s="6">
        <v>45657</v>
      </c>
      <c r="P87" s="1" t="s">
        <v>1357</v>
      </c>
    </row>
    <row r="88" spans="1:16" hidden="1" x14ac:dyDescent="0.25">
      <c r="A88" s="4">
        <v>84</v>
      </c>
      <c r="B88" s="2" t="str">
        <f>HYPERLINK("https://my.zakupivli.pro/remote/dispatcher/state_purchase_view/53241225", "UA-2024-09-11-006814-a")</f>
        <v>UA-2024-09-11-006814-a</v>
      </c>
      <c r="C88" s="2" t="str">
        <f>HYPERLINK("https://my.zakupivli.pro/remote/dispatcher/state_contracting_view/21428605", "UA-2024-09-11-006814-a-b1")</f>
        <v>UA-2024-09-11-006814-a-b1</v>
      </c>
      <c r="D88" s="1" t="s">
        <v>366</v>
      </c>
      <c r="E88" s="1" t="s">
        <v>1194</v>
      </c>
      <c r="F88" s="1" t="s">
        <v>843</v>
      </c>
      <c r="G88" s="1" t="s">
        <v>51</v>
      </c>
      <c r="H88" s="1" t="s">
        <v>894</v>
      </c>
      <c r="I88" s="1" t="s">
        <v>1264</v>
      </c>
      <c r="J88" s="1" t="s">
        <v>398</v>
      </c>
      <c r="K88" s="1" t="s">
        <v>382</v>
      </c>
      <c r="L88" s="5">
        <v>6958.8</v>
      </c>
      <c r="M88" s="1" t="s">
        <v>1293</v>
      </c>
      <c r="N88" s="6">
        <v>45546</v>
      </c>
      <c r="O88" s="6">
        <v>45657</v>
      </c>
      <c r="P88" s="1" t="s">
        <v>1357</v>
      </c>
    </row>
    <row r="89" spans="1:16" hidden="1" x14ac:dyDescent="0.25">
      <c r="A89" s="4">
        <v>85</v>
      </c>
      <c r="B89" s="2" t="str">
        <f>HYPERLINK("https://my.zakupivli.pro/remote/dispatcher/state_purchase_view/48266550", "UA-2024-01-10-008438-a")</f>
        <v>UA-2024-01-10-008438-a</v>
      </c>
      <c r="C89" s="2" t="str">
        <f>HYPERLINK("https://my.zakupivli.pro/remote/dispatcher/state_contracting_view/18870018", "UA-2024-01-10-008438-a-c1")</f>
        <v>UA-2024-01-10-008438-a-c1</v>
      </c>
      <c r="D89" s="1" t="s">
        <v>580</v>
      </c>
      <c r="E89" s="1" t="s">
        <v>1151</v>
      </c>
      <c r="F89" s="1" t="s">
        <v>1151</v>
      </c>
      <c r="G89" s="1" t="s">
        <v>438</v>
      </c>
      <c r="H89" s="1" t="s">
        <v>894</v>
      </c>
      <c r="I89" s="1" t="s">
        <v>1262</v>
      </c>
      <c r="J89" s="1" t="s">
        <v>324</v>
      </c>
      <c r="K89" s="1" t="s">
        <v>64</v>
      </c>
      <c r="L89" s="5">
        <v>25200</v>
      </c>
      <c r="M89" s="1" t="s">
        <v>993</v>
      </c>
      <c r="N89" s="6">
        <v>45301</v>
      </c>
      <c r="O89" s="6">
        <v>45657</v>
      </c>
      <c r="P89" s="1" t="s">
        <v>1357</v>
      </c>
    </row>
    <row r="90" spans="1:16" hidden="1" x14ac:dyDescent="0.25">
      <c r="A90" s="4">
        <v>86</v>
      </c>
      <c r="B90" s="2" t="str">
        <f>HYPERLINK("https://my.zakupivli.pro/remote/dispatcher/state_purchase_view/50963200", "UA-2024-05-13-005813-a")</f>
        <v>UA-2024-05-13-005813-a</v>
      </c>
      <c r="C90" s="2" t="str">
        <f>HYPERLINK("https://my.zakupivli.pro/remote/dispatcher/state_contracting_view/20283942", "UA-2024-05-13-005813-a-a1")</f>
        <v>UA-2024-05-13-005813-a-a1</v>
      </c>
      <c r="D90" s="1" t="s">
        <v>323</v>
      </c>
      <c r="E90" s="1" t="s">
        <v>1127</v>
      </c>
      <c r="F90" s="1" t="s">
        <v>1127</v>
      </c>
      <c r="G90" s="1" t="s">
        <v>474</v>
      </c>
      <c r="H90" s="1" t="s">
        <v>894</v>
      </c>
      <c r="I90" s="1" t="s">
        <v>1231</v>
      </c>
      <c r="J90" s="1" t="s">
        <v>229</v>
      </c>
      <c r="K90" s="1" t="s">
        <v>542</v>
      </c>
      <c r="L90" s="5">
        <v>2900</v>
      </c>
      <c r="M90" s="1" t="s">
        <v>993</v>
      </c>
      <c r="N90" s="6">
        <v>45425</v>
      </c>
      <c r="O90" s="6">
        <v>45657</v>
      </c>
      <c r="P90" s="1" t="s">
        <v>1357</v>
      </c>
    </row>
    <row r="91" spans="1:16" hidden="1" x14ac:dyDescent="0.25">
      <c r="A91" s="4">
        <v>87</v>
      </c>
      <c r="B91" s="2" t="str">
        <f>HYPERLINK("https://my.zakupivli.pro/remote/dispatcher/state_purchase_view/53885813", "UA-2024-10-09-011733-a")</f>
        <v>UA-2024-10-09-011733-a</v>
      </c>
      <c r="C91" s="2" t="str">
        <f>HYPERLINK("https://my.zakupivli.pro/remote/dispatcher/state_contracting_view/21703251", "UA-2024-10-09-011733-a-c1")</f>
        <v>UA-2024-10-09-011733-a-c1</v>
      </c>
      <c r="D91" s="1" t="s">
        <v>444</v>
      </c>
      <c r="E91" s="1" t="s">
        <v>934</v>
      </c>
      <c r="F91" s="1" t="s">
        <v>936</v>
      </c>
      <c r="G91" s="1" t="s">
        <v>264</v>
      </c>
      <c r="H91" s="1" t="s">
        <v>894</v>
      </c>
      <c r="I91" s="1" t="s">
        <v>1289</v>
      </c>
      <c r="J91" s="1" t="s">
        <v>168</v>
      </c>
      <c r="K91" s="1" t="s">
        <v>106</v>
      </c>
      <c r="L91" s="5">
        <v>6500</v>
      </c>
      <c r="M91" s="1" t="s">
        <v>993</v>
      </c>
      <c r="N91" s="6">
        <v>45574</v>
      </c>
      <c r="O91" s="6">
        <v>45657</v>
      </c>
      <c r="P91" s="1" t="s">
        <v>1357</v>
      </c>
    </row>
    <row r="92" spans="1:16" hidden="1" x14ac:dyDescent="0.25">
      <c r="A92" s="4">
        <v>88</v>
      </c>
      <c r="B92" s="2" t="str">
        <f>HYPERLINK("https://my.zakupivli.pro/remote/dispatcher/state_purchase_view/51078963", "UA-2024-05-17-007356-a")</f>
        <v>UA-2024-05-17-007356-a</v>
      </c>
      <c r="C92" s="2" t="str">
        <f>HYPERLINK("https://my.zakupivli.pro/remote/dispatcher/state_contracting_view/20333386", "UA-2024-05-17-007356-a-b1")</f>
        <v>UA-2024-05-17-007356-a-b1</v>
      </c>
      <c r="D92" s="1" t="s">
        <v>766</v>
      </c>
      <c r="E92" s="1" t="s">
        <v>1202</v>
      </c>
      <c r="F92" s="1" t="s">
        <v>1202</v>
      </c>
      <c r="G92" s="1" t="s">
        <v>356</v>
      </c>
      <c r="H92" s="1" t="s">
        <v>894</v>
      </c>
      <c r="I92" s="1" t="s">
        <v>1289</v>
      </c>
      <c r="J92" s="1" t="s">
        <v>168</v>
      </c>
      <c r="K92" s="1" t="s">
        <v>591</v>
      </c>
      <c r="L92" s="5">
        <v>1174</v>
      </c>
      <c r="M92" s="1" t="s">
        <v>993</v>
      </c>
      <c r="N92" s="6">
        <v>45429</v>
      </c>
      <c r="O92" s="6">
        <v>45657</v>
      </c>
      <c r="P92" s="1" t="s">
        <v>1357</v>
      </c>
    </row>
    <row r="93" spans="1:16" hidden="1" x14ac:dyDescent="0.25">
      <c r="A93" s="4">
        <v>89</v>
      </c>
      <c r="B93" s="2" t="str">
        <f>HYPERLINK("https://my.zakupivli.pro/remote/dispatcher/state_purchase_view/52519209", "UA-2024-08-05-007764-a")</f>
        <v>UA-2024-08-05-007764-a</v>
      </c>
      <c r="C93" s="2" t="str">
        <f>HYPERLINK("https://my.zakupivli.pro/remote/dispatcher/state_contracting_view/21116983", "UA-2024-08-05-007764-a-a1")</f>
        <v>UA-2024-08-05-007764-a-a1</v>
      </c>
      <c r="D93" s="1" t="s">
        <v>750</v>
      </c>
      <c r="E93" s="1" t="s">
        <v>981</v>
      </c>
      <c r="F93" s="1" t="s">
        <v>980</v>
      </c>
      <c r="G93" s="1" t="s">
        <v>596</v>
      </c>
      <c r="H93" s="1" t="s">
        <v>894</v>
      </c>
      <c r="I93" s="1" t="s">
        <v>921</v>
      </c>
      <c r="J93" s="1" t="s">
        <v>38</v>
      </c>
      <c r="K93" s="1" t="s">
        <v>560</v>
      </c>
      <c r="L93" s="5">
        <v>850</v>
      </c>
      <c r="M93" s="1" t="s">
        <v>993</v>
      </c>
      <c r="N93" s="6">
        <v>45509</v>
      </c>
      <c r="O93" s="6">
        <v>45657</v>
      </c>
      <c r="P93" s="1" t="s">
        <v>1357</v>
      </c>
    </row>
    <row r="94" spans="1:16" hidden="1" x14ac:dyDescent="0.25">
      <c r="A94" s="4">
        <v>90</v>
      </c>
      <c r="B94" s="2" t="str">
        <f>HYPERLINK("https://my.zakupivli.pro/remote/dispatcher/state_purchase_view/50194263", "UA-2024-04-03-008951-a")</f>
        <v>UA-2024-04-03-008951-a</v>
      </c>
      <c r="C94" s="2" t="str">
        <f>HYPERLINK("https://my.zakupivli.pro/remote/dispatcher/state_contracting_view/19692765", "UA-2024-04-03-008951-a-c1")</f>
        <v>UA-2024-04-03-008951-a-c1</v>
      </c>
      <c r="D94" s="1" t="s">
        <v>506</v>
      </c>
      <c r="E94" s="1" t="s">
        <v>1213</v>
      </c>
      <c r="F94" s="1" t="s">
        <v>1213</v>
      </c>
      <c r="G94" s="1" t="s">
        <v>469</v>
      </c>
      <c r="H94" s="1" t="s">
        <v>894</v>
      </c>
      <c r="I94" s="1" t="s">
        <v>1015</v>
      </c>
      <c r="J94" s="1" t="s">
        <v>403</v>
      </c>
      <c r="K94" s="1" t="s">
        <v>371</v>
      </c>
      <c r="L94" s="5">
        <v>2697.76</v>
      </c>
      <c r="M94" s="1" t="s">
        <v>1293</v>
      </c>
      <c r="N94" s="6">
        <v>45385</v>
      </c>
      <c r="O94" s="6">
        <v>45657</v>
      </c>
      <c r="P94" s="1" t="s">
        <v>1357</v>
      </c>
    </row>
    <row r="95" spans="1:16" hidden="1" x14ac:dyDescent="0.25">
      <c r="A95" s="4">
        <v>91</v>
      </c>
      <c r="B95" s="2" t="str">
        <f>HYPERLINK("https://my.zakupivli.pro/remote/dispatcher/state_purchase_view/48253203", "UA-2024-01-10-003064-a")</f>
        <v>UA-2024-01-10-003064-a</v>
      </c>
      <c r="C95" s="2" t="str">
        <f>HYPERLINK("https://my.zakupivli.pro/remote/dispatcher/state_contracting_view/18864792", "UA-2024-01-10-003064-a-c1")</f>
        <v>UA-2024-01-10-003064-a-c1</v>
      </c>
      <c r="D95" s="1" t="s">
        <v>571</v>
      </c>
      <c r="E95" s="1" t="s">
        <v>1049</v>
      </c>
      <c r="F95" s="1" t="s">
        <v>1296</v>
      </c>
      <c r="G95" s="1" t="s">
        <v>54</v>
      </c>
      <c r="H95" s="1" t="s">
        <v>894</v>
      </c>
      <c r="I95" s="1" t="s">
        <v>1020</v>
      </c>
      <c r="J95" s="1" t="s">
        <v>35</v>
      </c>
      <c r="K95" s="1" t="s">
        <v>533</v>
      </c>
      <c r="L95" s="5">
        <v>554000</v>
      </c>
      <c r="M95" s="1" t="s">
        <v>1293</v>
      </c>
      <c r="N95" s="6">
        <v>45301</v>
      </c>
      <c r="O95" s="6">
        <v>45657</v>
      </c>
      <c r="P95" s="1" t="s">
        <v>1357</v>
      </c>
    </row>
    <row r="96" spans="1:16" hidden="1" x14ac:dyDescent="0.25">
      <c r="A96" s="4">
        <v>92</v>
      </c>
      <c r="B96" s="2" t="str">
        <f>HYPERLINK("https://my.zakupivli.pro/remote/dispatcher/state_purchase_view/53910551", "UA-2024-10-10-007956-a")</f>
        <v>UA-2024-10-10-007956-a</v>
      </c>
      <c r="C96" s="2" t="str">
        <f>HYPERLINK("https://my.zakupivli.pro/remote/dispatcher/state_contracting_view/21714195", "UA-2024-10-10-007956-a-b1")</f>
        <v>UA-2024-10-10-007956-a-b1</v>
      </c>
      <c r="D96" s="1" t="s">
        <v>526</v>
      </c>
      <c r="E96" s="1" t="s">
        <v>1167</v>
      </c>
      <c r="F96" s="1" t="s">
        <v>1167</v>
      </c>
      <c r="G96" s="1" t="s">
        <v>465</v>
      </c>
      <c r="H96" s="1" t="s">
        <v>894</v>
      </c>
      <c r="I96" s="1" t="s">
        <v>1287</v>
      </c>
      <c r="J96" s="1" t="s">
        <v>411</v>
      </c>
      <c r="K96" s="1" t="s">
        <v>109</v>
      </c>
      <c r="L96" s="5">
        <v>8400</v>
      </c>
      <c r="M96" s="1" t="s">
        <v>993</v>
      </c>
      <c r="N96" s="6">
        <v>45575</v>
      </c>
      <c r="O96" s="6">
        <v>45657</v>
      </c>
      <c r="P96" s="1" t="s">
        <v>1357</v>
      </c>
    </row>
    <row r="97" spans="1:16" hidden="1" x14ac:dyDescent="0.25">
      <c r="A97" s="4">
        <v>93</v>
      </c>
      <c r="B97" s="2" t="str">
        <f>HYPERLINK("https://my.zakupivli.pro/remote/dispatcher/state_purchase_view/50466274", "UA-2024-04-17-000441-a")</f>
        <v>UA-2024-04-17-000441-a</v>
      </c>
      <c r="C97" s="2" t="str">
        <f>HYPERLINK("https://my.zakupivli.pro/remote/dispatcher/state_contracting_view/19813426", "UA-2024-04-17-000441-a-b1")</f>
        <v>UA-2024-04-17-000441-a-b1</v>
      </c>
      <c r="D97" s="1" t="s">
        <v>702</v>
      </c>
      <c r="E97" s="1" t="s">
        <v>934</v>
      </c>
      <c r="F97" s="1" t="s">
        <v>936</v>
      </c>
      <c r="G97" s="1" t="s">
        <v>264</v>
      </c>
      <c r="H97" s="1" t="s">
        <v>894</v>
      </c>
      <c r="I97" s="1" t="s">
        <v>1289</v>
      </c>
      <c r="J97" s="1" t="s">
        <v>168</v>
      </c>
      <c r="K97" s="1" t="s">
        <v>459</v>
      </c>
      <c r="L97" s="5">
        <v>5912.24</v>
      </c>
      <c r="M97" s="1" t="s">
        <v>993</v>
      </c>
      <c r="N97" s="6">
        <v>45398</v>
      </c>
      <c r="O97" s="6">
        <v>45657</v>
      </c>
      <c r="P97" s="1" t="s">
        <v>1357</v>
      </c>
    </row>
    <row r="98" spans="1:16" hidden="1" x14ac:dyDescent="0.25">
      <c r="A98" s="4">
        <v>94</v>
      </c>
      <c r="B98" s="2" t="str">
        <f>HYPERLINK("https://my.zakupivli.pro/remote/dispatcher/state_purchase_view/51079531", "UA-2024-05-17-007682-a")</f>
        <v>UA-2024-05-17-007682-a</v>
      </c>
      <c r="C98" s="2" t="str">
        <f>HYPERLINK("https://my.zakupivli.pro/remote/dispatcher/state_contracting_view/20333688", "UA-2024-05-17-007682-a-c1")</f>
        <v>UA-2024-05-17-007682-a-c1</v>
      </c>
      <c r="D98" s="1" t="s">
        <v>449</v>
      </c>
      <c r="E98" s="1" t="s">
        <v>999</v>
      </c>
      <c r="F98" s="1" t="s">
        <v>999</v>
      </c>
      <c r="G98" s="1" t="s">
        <v>355</v>
      </c>
      <c r="H98" s="1" t="s">
        <v>894</v>
      </c>
      <c r="I98" s="1" t="s">
        <v>1289</v>
      </c>
      <c r="J98" s="1" t="s">
        <v>168</v>
      </c>
      <c r="K98" s="1" t="s">
        <v>591</v>
      </c>
      <c r="L98" s="5">
        <v>510</v>
      </c>
      <c r="M98" s="1" t="s">
        <v>993</v>
      </c>
      <c r="N98" s="6">
        <v>45429</v>
      </c>
      <c r="O98" s="6">
        <v>45657</v>
      </c>
      <c r="P98" s="1" t="s">
        <v>1357</v>
      </c>
    </row>
    <row r="99" spans="1:16" hidden="1" x14ac:dyDescent="0.25">
      <c r="A99" s="4">
        <v>95</v>
      </c>
      <c r="B99" s="2" t="str">
        <f>HYPERLINK("https://my.zakupivli.pro/remote/dispatcher/state_purchase_view/52517891", "UA-2024-08-05-007140-a")</f>
        <v>UA-2024-08-05-007140-a</v>
      </c>
      <c r="C99" s="2" t="str">
        <f>HYPERLINK("https://my.zakupivli.pro/remote/dispatcher/state_contracting_view/21116501", "UA-2024-08-05-007140-a-a1")</f>
        <v>UA-2024-08-05-007140-a-a1</v>
      </c>
      <c r="D99" s="1" t="s">
        <v>579</v>
      </c>
      <c r="E99" s="1" t="s">
        <v>910</v>
      </c>
      <c r="F99" s="1" t="s">
        <v>909</v>
      </c>
      <c r="G99" s="1" t="s">
        <v>356</v>
      </c>
      <c r="H99" s="1" t="s">
        <v>894</v>
      </c>
      <c r="I99" s="1" t="s">
        <v>1289</v>
      </c>
      <c r="J99" s="1" t="s">
        <v>168</v>
      </c>
      <c r="K99" s="1" t="s">
        <v>93</v>
      </c>
      <c r="L99" s="4">
        <v>5538</v>
      </c>
      <c r="M99" s="1" t="s">
        <v>993</v>
      </c>
      <c r="N99" s="6">
        <v>45509</v>
      </c>
      <c r="O99" s="6">
        <v>45657</v>
      </c>
      <c r="P99" s="1" t="s">
        <v>1357</v>
      </c>
    </row>
    <row r="100" spans="1:16" hidden="1" x14ac:dyDescent="0.25">
      <c r="A100" s="4">
        <v>96</v>
      </c>
      <c r="B100" s="2" t="str">
        <f>HYPERLINK("https://my.zakupivli.pro/remote/dispatcher/state_purchase_view/52518803", "UA-2024-08-05-007631-a")</f>
        <v>UA-2024-08-05-007631-a</v>
      </c>
      <c r="C100" s="2" t="str">
        <f>HYPERLINK("https://my.zakupivli.pro/remote/dispatcher/state_contracting_view/21116913", "UA-2024-08-05-007631-a-b1")</f>
        <v>UA-2024-08-05-007631-a-b1</v>
      </c>
      <c r="D100" s="1" t="s">
        <v>710</v>
      </c>
      <c r="E100" s="1" t="s">
        <v>1221</v>
      </c>
      <c r="F100" s="1" t="s">
        <v>1222</v>
      </c>
      <c r="G100" s="1" t="s">
        <v>119</v>
      </c>
      <c r="H100" s="1" t="s">
        <v>894</v>
      </c>
      <c r="I100" s="1" t="s">
        <v>1289</v>
      </c>
      <c r="J100" s="1" t="s">
        <v>168</v>
      </c>
      <c r="K100" s="1" t="s">
        <v>93</v>
      </c>
      <c r="L100" s="5">
        <v>1650</v>
      </c>
      <c r="M100" s="1" t="s">
        <v>993</v>
      </c>
      <c r="N100" s="6">
        <v>45509</v>
      </c>
      <c r="O100" s="6">
        <v>45657</v>
      </c>
      <c r="P100" s="1" t="s">
        <v>1357</v>
      </c>
    </row>
    <row r="101" spans="1:16" hidden="1" x14ac:dyDescent="0.25">
      <c r="A101" s="4">
        <v>97</v>
      </c>
      <c r="B101" s="2" t="str">
        <f>HYPERLINK("https://my.zakupivli.pro/remote/dispatcher/state_purchase_view/50900577", "UA-2024-05-09-002229-a")</f>
        <v>UA-2024-05-09-002229-a</v>
      </c>
      <c r="C101" s="2" t="str">
        <f>HYPERLINK("https://my.zakupivli.pro/remote/dispatcher/state_contracting_view/20256918", "UA-2024-05-09-002229-a-b1")</f>
        <v>UA-2024-05-09-002229-a-b1</v>
      </c>
      <c r="D101" s="1" t="s">
        <v>783</v>
      </c>
      <c r="E101" s="1" t="s">
        <v>1076</v>
      </c>
      <c r="F101" s="1" t="s">
        <v>998</v>
      </c>
      <c r="G101" s="1" t="s">
        <v>550</v>
      </c>
      <c r="H101" s="1" t="s">
        <v>894</v>
      </c>
      <c r="I101" s="1" t="s">
        <v>1237</v>
      </c>
      <c r="J101" s="1" t="s">
        <v>242</v>
      </c>
      <c r="K101" s="1" t="s">
        <v>295</v>
      </c>
      <c r="L101" s="5">
        <v>3727.5</v>
      </c>
      <c r="M101" s="1" t="s">
        <v>993</v>
      </c>
      <c r="N101" s="6">
        <v>45421</v>
      </c>
      <c r="O101" s="6">
        <v>45657</v>
      </c>
      <c r="P101" s="1" t="s">
        <v>1357</v>
      </c>
    </row>
    <row r="102" spans="1:16" hidden="1" x14ac:dyDescent="0.25">
      <c r="A102" s="4">
        <v>98</v>
      </c>
      <c r="B102" s="2" t="str">
        <f>HYPERLINK("https://my.zakupivli.pro/remote/dispatcher/state_purchase_view/50586662", "UA-2024-04-23-000593-a")</f>
        <v>UA-2024-04-23-000593-a</v>
      </c>
      <c r="C102" s="2" t="str">
        <f>HYPERLINK("https://my.zakupivli.pro/remote/dispatcher/state_contracting_view/19867261", "UA-2024-04-23-000593-a-a1")</f>
        <v>UA-2024-04-23-000593-a-a1</v>
      </c>
      <c r="D102" s="1" t="s">
        <v>505</v>
      </c>
      <c r="E102" s="1" t="s">
        <v>1128</v>
      </c>
      <c r="F102" s="1" t="s">
        <v>1301</v>
      </c>
      <c r="G102" s="1" t="s">
        <v>474</v>
      </c>
      <c r="H102" s="1" t="s">
        <v>894</v>
      </c>
      <c r="I102" s="1" t="s">
        <v>1231</v>
      </c>
      <c r="J102" s="1" t="s">
        <v>229</v>
      </c>
      <c r="K102" s="1" t="s">
        <v>511</v>
      </c>
      <c r="L102" s="5">
        <v>1300</v>
      </c>
      <c r="M102" s="1" t="s">
        <v>993</v>
      </c>
      <c r="N102" s="6">
        <v>45405</v>
      </c>
      <c r="O102" s="6">
        <v>45657</v>
      </c>
      <c r="P102" s="1" t="s">
        <v>1357</v>
      </c>
    </row>
    <row r="103" spans="1:16" hidden="1" x14ac:dyDescent="0.25">
      <c r="A103" s="4">
        <v>99</v>
      </c>
      <c r="B103" s="2" t="str">
        <f>HYPERLINK("https://my.zakupivli.pro/remote/dispatcher/state_purchase_view/55495264", "UA-2024-12-06-012838-a")</f>
        <v>UA-2024-12-06-012838-a</v>
      </c>
      <c r="C103" s="2" t="str">
        <f>HYPERLINK("https://my.zakupivli.pro/remote/dispatcher/state_contracting_view/22395879", "UA-2024-12-06-012838-a-a1")</f>
        <v>UA-2024-12-06-012838-a-a1</v>
      </c>
      <c r="D103" s="1" t="s">
        <v>776</v>
      </c>
      <c r="E103" s="1" t="s">
        <v>886</v>
      </c>
      <c r="F103" s="1" t="s">
        <v>886</v>
      </c>
      <c r="G103" s="1" t="s">
        <v>287</v>
      </c>
      <c r="H103" s="1" t="s">
        <v>894</v>
      </c>
      <c r="I103" s="1" t="s">
        <v>930</v>
      </c>
      <c r="J103" s="1" t="s">
        <v>277</v>
      </c>
      <c r="K103" s="1" t="s">
        <v>126</v>
      </c>
      <c r="L103" s="5">
        <v>9900</v>
      </c>
      <c r="M103" s="1" t="s">
        <v>993</v>
      </c>
      <c r="N103" s="6">
        <v>45632</v>
      </c>
      <c r="O103" s="6">
        <v>45657</v>
      </c>
      <c r="P103" s="1" t="s">
        <v>1357</v>
      </c>
    </row>
    <row r="104" spans="1:16" hidden="1" x14ac:dyDescent="0.25">
      <c r="A104" s="4">
        <v>100</v>
      </c>
      <c r="B104" s="2" t="str">
        <f>HYPERLINK("https://my.zakupivli.pro/remote/dispatcher/state_purchase_view/48259220", "UA-2024-01-10-005388-a")</f>
        <v>UA-2024-01-10-005388-a</v>
      </c>
      <c r="C104" s="2" t="str">
        <f>HYPERLINK("https://my.zakupivli.pro/remote/dispatcher/state_contracting_view/18867133", "UA-2024-01-10-005388-a-a1")</f>
        <v>UA-2024-01-10-005388-a-a1</v>
      </c>
      <c r="D104" s="1" t="s">
        <v>500</v>
      </c>
      <c r="E104" s="1" t="s">
        <v>1135</v>
      </c>
      <c r="F104" s="1" t="s">
        <v>1135</v>
      </c>
      <c r="G104" s="1" t="s">
        <v>631</v>
      </c>
      <c r="H104" s="1" t="s">
        <v>894</v>
      </c>
      <c r="I104" s="1" t="s">
        <v>920</v>
      </c>
      <c r="J104" s="1" t="s">
        <v>37</v>
      </c>
      <c r="K104" s="1" t="s">
        <v>627</v>
      </c>
      <c r="L104" s="5">
        <v>8199.1</v>
      </c>
      <c r="M104" s="1" t="s">
        <v>1293</v>
      </c>
      <c r="N104" s="6">
        <v>45301</v>
      </c>
      <c r="O104" s="6">
        <v>45657</v>
      </c>
      <c r="P104" s="1" t="s">
        <v>1357</v>
      </c>
    </row>
    <row r="105" spans="1:16" hidden="1" x14ac:dyDescent="0.25">
      <c r="A105" s="4">
        <v>101</v>
      </c>
      <c r="B105" s="2" t="str">
        <f>HYPERLINK("https://my.zakupivli.pro/remote/dispatcher/state_purchase_view/48261352", "UA-2024-01-10-006207-a")</f>
        <v>UA-2024-01-10-006207-a</v>
      </c>
      <c r="C105" s="2" t="str">
        <f>HYPERLINK("https://my.zakupivli.pro/remote/dispatcher/state_contracting_view/18867990", "UA-2024-01-10-006207-a-c1")</f>
        <v>UA-2024-01-10-006207-a-c1</v>
      </c>
      <c r="D105" s="1" t="s">
        <v>137</v>
      </c>
      <c r="E105" s="1" t="s">
        <v>1137</v>
      </c>
      <c r="F105" s="1" t="s">
        <v>1137</v>
      </c>
      <c r="G105" s="1" t="s">
        <v>521</v>
      </c>
      <c r="H105" s="1" t="s">
        <v>894</v>
      </c>
      <c r="I105" s="1" t="s">
        <v>920</v>
      </c>
      <c r="J105" s="1" t="s">
        <v>37</v>
      </c>
      <c r="K105" s="1" t="s">
        <v>627</v>
      </c>
      <c r="L105" s="5">
        <v>7830.9</v>
      </c>
      <c r="M105" s="1" t="s">
        <v>1293</v>
      </c>
      <c r="N105" s="6">
        <v>45301</v>
      </c>
      <c r="O105" s="6">
        <v>45657</v>
      </c>
      <c r="P105" s="1" t="s">
        <v>1357</v>
      </c>
    </row>
    <row r="106" spans="1:16" hidden="1" x14ac:dyDescent="0.25">
      <c r="A106" s="4">
        <v>102</v>
      </c>
      <c r="B106" s="2" t="str">
        <f>HYPERLINK("https://my.zakupivli.pro/remote/dispatcher/state_purchase_view/54044629", "UA-2024-10-16-007894-a")</f>
        <v>UA-2024-10-16-007894-a</v>
      </c>
      <c r="C106" s="2" t="str">
        <f>HYPERLINK("https://my.zakupivli.pro/remote/dispatcher/state_contracting_view/21772097", "UA-2024-10-16-007894-a-b1")</f>
        <v>UA-2024-10-16-007894-a-b1</v>
      </c>
      <c r="D106" s="1" t="s">
        <v>721</v>
      </c>
      <c r="E106" s="1" t="s">
        <v>876</v>
      </c>
      <c r="F106" s="1" t="s">
        <v>876</v>
      </c>
      <c r="G106" s="1" t="s">
        <v>525</v>
      </c>
      <c r="H106" s="1" t="s">
        <v>894</v>
      </c>
      <c r="I106" s="1" t="s">
        <v>819</v>
      </c>
      <c r="J106" s="1" t="s">
        <v>149</v>
      </c>
      <c r="K106" s="1" t="s">
        <v>16</v>
      </c>
      <c r="L106" s="5">
        <v>3181.69</v>
      </c>
      <c r="M106" s="1" t="s">
        <v>993</v>
      </c>
      <c r="N106" s="6">
        <v>45581</v>
      </c>
      <c r="O106" s="6">
        <v>45657</v>
      </c>
      <c r="P106" s="1" t="s">
        <v>1357</v>
      </c>
    </row>
    <row r="107" spans="1:16" hidden="1" x14ac:dyDescent="0.25">
      <c r="A107" s="4">
        <v>103</v>
      </c>
      <c r="B107" s="2" t="str">
        <f>HYPERLINK("https://my.zakupivli.pro/remote/dispatcher/state_purchase_view/51463141", "UA-2024-06-06-005268-a")</f>
        <v>UA-2024-06-06-005268-a</v>
      </c>
      <c r="C107" s="2" t="str">
        <f>HYPERLINK("https://my.zakupivli.pro/remote/dispatcher/state_contracting_view/20657365", "UA-2024-06-06-005268-a-c1")</f>
        <v>UA-2024-06-06-005268-a-c1</v>
      </c>
      <c r="D107" s="1" t="s">
        <v>659</v>
      </c>
      <c r="E107" s="1" t="s">
        <v>865</v>
      </c>
      <c r="F107" s="1" t="s">
        <v>866</v>
      </c>
      <c r="G107" s="1" t="s">
        <v>473</v>
      </c>
      <c r="H107" s="1" t="s">
        <v>894</v>
      </c>
      <c r="I107" s="1" t="s">
        <v>1272</v>
      </c>
      <c r="J107" s="1" t="s">
        <v>378</v>
      </c>
      <c r="K107" s="1" t="s">
        <v>43</v>
      </c>
      <c r="L107" s="5">
        <v>8250</v>
      </c>
      <c r="M107" s="1" t="s">
        <v>1293</v>
      </c>
      <c r="N107" s="6">
        <v>45449</v>
      </c>
      <c r="O107" s="6">
        <v>45657</v>
      </c>
      <c r="P107" s="1" t="s">
        <v>1357</v>
      </c>
    </row>
    <row r="108" spans="1:16" hidden="1" x14ac:dyDescent="0.25">
      <c r="A108" s="4">
        <v>104</v>
      </c>
      <c r="B108" s="2" t="str">
        <f>HYPERLINK("https://my.zakupivli.pro/remote/dispatcher/state_purchase_view/53132993", "UA-2024-09-06-000819-a")</f>
        <v>UA-2024-09-06-000819-a</v>
      </c>
      <c r="C108" s="2" t="str">
        <f>HYPERLINK("https://my.zakupivli.pro/remote/dispatcher/state_contracting_view/21382291", "UA-2024-09-06-000819-a-c1")</f>
        <v>UA-2024-09-06-000819-a-c1</v>
      </c>
      <c r="D108" s="1" t="s">
        <v>139</v>
      </c>
      <c r="E108" s="1" t="s">
        <v>1094</v>
      </c>
      <c r="F108" s="1" t="s">
        <v>1094</v>
      </c>
      <c r="G108" s="1" t="s">
        <v>438</v>
      </c>
      <c r="H108" s="1" t="s">
        <v>894</v>
      </c>
      <c r="I108" s="1" t="s">
        <v>834</v>
      </c>
      <c r="J108" s="1" t="s">
        <v>191</v>
      </c>
      <c r="K108" s="1" t="s">
        <v>188</v>
      </c>
      <c r="L108" s="5">
        <v>3100</v>
      </c>
      <c r="M108" s="1" t="s">
        <v>993</v>
      </c>
      <c r="N108" s="6">
        <v>45541</v>
      </c>
      <c r="O108" s="6">
        <v>45657</v>
      </c>
      <c r="P108" s="1" t="s">
        <v>1357</v>
      </c>
    </row>
    <row r="109" spans="1:16" hidden="1" x14ac:dyDescent="0.25">
      <c r="A109" s="4">
        <v>105</v>
      </c>
      <c r="B109" s="2" t="str">
        <f>HYPERLINK("https://my.zakupivli.pro/remote/dispatcher/state_purchase_view/51080507", "UA-2024-05-17-008114-a")</f>
        <v>UA-2024-05-17-008114-a</v>
      </c>
      <c r="C109" s="2" t="str">
        <f>HYPERLINK("https://my.zakupivli.pro/remote/dispatcher/state_contracting_view/20334119", "UA-2024-05-17-008114-a-b1")</f>
        <v>UA-2024-05-17-008114-a-b1</v>
      </c>
      <c r="D109" s="1" t="s">
        <v>736</v>
      </c>
      <c r="E109" s="1" t="s">
        <v>844</v>
      </c>
      <c r="F109" s="1" t="s">
        <v>845</v>
      </c>
      <c r="G109" s="1" t="s">
        <v>400</v>
      </c>
      <c r="H109" s="1" t="s">
        <v>894</v>
      </c>
      <c r="I109" s="1" t="s">
        <v>1289</v>
      </c>
      <c r="J109" s="1" t="s">
        <v>168</v>
      </c>
      <c r="K109" s="1" t="s">
        <v>629</v>
      </c>
      <c r="L109" s="5">
        <v>15700</v>
      </c>
      <c r="M109" s="1" t="s">
        <v>993</v>
      </c>
      <c r="N109" s="6">
        <v>45429</v>
      </c>
      <c r="O109" s="6">
        <v>45657</v>
      </c>
      <c r="P109" s="1" t="s">
        <v>1357</v>
      </c>
    </row>
    <row r="110" spans="1:16" hidden="1" x14ac:dyDescent="0.25">
      <c r="A110" s="4">
        <v>106</v>
      </c>
      <c r="B110" s="2" t="str">
        <f>HYPERLINK("https://my.zakupivli.pro/remote/dispatcher/state_purchase_view/53714079", "UA-2024-10-02-003792-a")</f>
        <v>UA-2024-10-02-003792-a</v>
      </c>
      <c r="C110" s="2" t="str">
        <f>HYPERLINK("https://my.zakupivli.pro/remote/dispatcher/state_contracting_view/21629586", "UA-2024-10-02-003792-a-c1")</f>
        <v>UA-2024-10-02-003792-a-c1</v>
      </c>
      <c r="D110" s="1" t="s">
        <v>748</v>
      </c>
      <c r="E110" s="1" t="s">
        <v>1075</v>
      </c>
      <c r="F110" s="1" t="s">
        <v>1075</v>
      </c>
      <c r="G110" s="1" t="s">
        <v>553</v>
      </c>
      <c r="H110" s="1" t="s">
        <v>894</v>
      </c>
      <c r="I110" s="1" t="s">
        <v>1258</v>
      </c>
      <c r="J110" s="1" t="s">
        <v>424</v>
      </c>
      <c r="K110" s="1" t="s">
        <v>300</v>
      </c>
      <c r="L110" s="5">
        <v>2700</v>
      </c>
      <c r="M110" s="1" t="s">
        <v>1293</v>
      </c>
      <c r="N110" s="6">
        <v>45566</v>
      </c>
      <c r="O110" s="6">
        <v>45657</v>
      </c>
      <c r="P110" s="1" t="s">
        <v>1357</v>
      </c>
    </row>
    <row r="111" spans="1:16" hidden="1" x14ac:dyDescent="0.25">
      <c r="A111" s="4">
        <v>107</v>
      </c>
      <c r="B111" s="2" t="str">
        <f>HYPERLINK("https://my.zakupivli.pro/remote/dispatcher/state_purchase_view/49033811", "UA-2024-02-08-005072-a")</f>
        <v>UA-2024-02-08-005072-a</v>
      </c>
      <c r="C111" s="2" t="str">
        <f>HYPERLINK("https://my.zakupivli.pro/remote/dispatcher/state_contracting_view/19193272", "UA-2024-02-08-005072-a-b1")</f>
        <v>UA-2024-02-08-005072-a-b1</v>
      </c>
      <c r="D111" s="1" t="s">
        <v>536</v>
      </c>
      <c r="E111" s="1" t="s">
        <v>1090</v>
      </c>
      <c r="F111" s="1" t="s">
        <v>1088</v>
      </c>
      <c r="G111" s="1" t="s">
        <v>520</v>
      </c>
      <c r="H111" s="1" t="s">
        <v>894</v>
      </c>
      <c r="I111" s="1" t="s">
        <v>820</v>
      </c>
      <c r="J111" s="1" t="s">
        <v>154</v>
      </c>
      <c r="K111" s="1" t="s">
        <v>94</v>
      </c>
      <c r="L111" s="5">
        <v>2340</v>
      </c>
      <c r="M111" s="1" t="s">
        <v>1293</v>
      </c>
      <c r="N111" s="6">
        <v>45330</v>
      </c>
      <c r="O111" s="6">
        <v>45657</v>
      </c>
      <c r="P111" s="1" t="s">
        <v>1357</v>
      </c>
    </row>
    <row r="112" spans="1:16" hidden="1" x14ac:dyDescent="0.25">
      <c r="A112" s="4">
        <v>108</v>
      </c>
      <c r="B112" s="2" t="str">
        <f>HYPERLINK("https://my.zakupivli.pro/remote/dispatcher/state_purchase_view/50193576", "UA-2024-04-03-008666-a")</f>
        <v>UA-2024-04-03-008666-a</v>
      </c>
      <c r="C112" s="2" t="str">
        <f>HYPERLINK("https://my.zakupivli.pro/remote/dispatcher/state_contracting_view/19692505", "UA-2024-04-03-008666-a-a1")</f>
        <v>UA-2024-04-03-008666-a-a1</v>
      </c>
      <c r="D112" s="1" t="s">
        <v>681</v>
      </c>
      <c r="E112" s="1" t="s">
        <v>895</v>
      </c>
      <c r="F112" s="1" t="s">
        <v>1166</v>
      </c>
      <c r="G112" s="1" t="s">
        <v>465</v>
      </c>
      <c r="H112" s="1" t="s">
        <v>894</v>
      </c>
      <c r="I112" s="1" t="s">
        <v>1287</v>
      </c>
      <c r="J112" s="1" t="s">
        <v>411</v>
      </c>
      <c r="K112" s="1" t="s">
        <v>257</v>
      </c>
      <c r="L112" s="5">
        <v>9300</v>
      </c>
      <c r="M112" s="1" t="s">
        <v>993</v>
      </c>
      <c r="N112" s="6">
        <v>45385</v>
      </c>
      <c r="O112" s="6">
        <v>45657</v>
      </c>
      <c r="P112" s="1" t="s">
        <v>1357</v>
      </c>
    </row>
    <row r="113" spans="1:16" hidden="1" x14ac:dyDescent="0.25">
      <c r="A113" s="4">
        <v>109</v>
      </c>
      <c r="B113" s="2" t="str">
        <f>HYPERLINK("https://my.zakupivli.pro/remote/dispatcher/state_purchase_view/55437597", "UA-2024-12-05-008596-a")</f>
        <v>UA-2024-12-05-008596-a</v>
      </c>
      <c r="C113" s="2" t="str">
        <f>HYPERLINK("https://my.zakupivli.pro/remote/dispatcher/state_contracting_view/22371313", "UA-2024-12-05-008596-a-a1")</f>
        <v>UA-2024-12-05-008596-a-a1</v>
      </c>
      <c r="D113" s="1" t="s">
        <v>272</v>
      </c>
      <c r="E113" s="1" t="s">
        <v>988</v>
      </c>
      <c r="F113" s="1" t="s">
        <v>988</v>
      </c>
      <c r="G113" s="1" t="s">
        <v>51</v>
      </c>
      <c r="H113" s="1" t="s">
        <v>894</v>
      </c>
      <c r="I113" s="1" t="s">
        <v>1264</v>
      </c>
      <c r="J113" s="1" t="s">
        <v>398</v>
      </c>
      <c r="K113" s="1" t="s">
        <v>412</v>
      </c>
      <c r="L113" s="5">
        <v>3359.4</v>
      </c>
      <c r="M113" s="1" t="s">
        <v>1293</v>
      </c>
      <c r="N113" s="6">
        <v>45631</v>
      </c>
      <c r="O113" s="6">
        <v>45657</v>
      </c>
      <c r="P113" s="1" t="s">
        <v>1357</v>
      </c>
    </row>
    <row r="114" spans="1:16" hidden="1" x14ac:dyDescent="0.25">
      <c r="A114" s="4">
        <v>110</v>
      </c>
      <c r="B114" s="2" t="str">
        <f>HYPERLINK("https://my.zakupivli.pro/remote/dispatcher/state_purchase_view/51764861", "UA-2024-06-21-000269-a")</f>
        <v>UA-2024-06-21-000269-a</v>
      </c>
      <c r="C114" s="2" t="str">
        <f>HYPERLINK("https://my.zakupivli.pro/remote/dispatcher/state_contracting_view/20787731", "UA-2024-06-21-000269-a-b1")</f>
        <v>UA-2024-06-21-000269-a-b1</v>
      </c>
      <c r="D114" s="1" t="s">
        <v>359</v>
      </c>
      <c r="E114" s="1" t="s">
        <v>1176</v>
      </c>
      <c r="F114" s="1" t="s">
        <v>995</v>
      </c>
      <c r="G114" s="1" t="s">
        <v>568</v>
      </c>
      <c r="H114" s="1" t="s">
        <v>894</v>
      </c>
      <c r="I114" s="1" t="s">
        <v>1018</v>
      </c>
      <c r="J114" s="1" t="s">
        <v>330</v>
      </c>
      <c r="K114" s="1" t="s">
        <v>84</v>
      </c>
      <c r="L114" s="5">
        <v>9982.52</v>
      </c>
      <c r="M114" s="1" t="s">
        <v>1293</v>
      </c>
      <c r="N114" s="6">
        <v>45463</v>
      </c>
      <c r="O114" s="6">
        <v>45657</v>
      </c>
      <c r="P114" s="1" t="s">
        <v>1357</v>
      </c>
    </row>
    <row r="115" spans="1:16" hidden="1" x14ac:dyDescent="0.25">
      <c r="A115" s="4">
        <v>111</v>
      </c>
      <c r="B115" s="2" t="str">
        <f>HYPERLINK("https://my.zakupivli.pro/remote/dispatcher/state_purchase_view/52518156", "UA-2024-08-05-007302-a")</f>
        <v>UA-2024-08-05-007302-a</v>
      </c>
      <c r="C115" s="2" t="str">
        <f>HYPERLINK("https://my.zakupivli.pro/remote/dispatcher/state_contracting_view/21116663", "UA-2024-08-05-007302-a-b1")</f>
        <v>UA-2024-08-05-007302-a-b1</v>
      </c>
      <c r="D115" s="1" t="s">
        <v>604</v>
      </c>
      <c r="E115" s="1" t="s">
        <v>1317</v>
      </c>
      <c r="F115" s="1" t="s">
        <v>1316</v>
      </c>
      <c r="G115" s="1" t="s">
        <v>304</v>
      </c>
      <c r="H115" s="1" t="s">
        <v>894</v>
      </c>
      <c r="I115" s="1" t="s">
        <v>1289</v>
      </c>
      <c r="J115" s="1" t="s">
        <v>168</v>
      </c>
      <c r="K115" s="1" t="s">
        <v>93</v>
      </c>
      <c r="L115" s="4">
        <v>952</v>
      </c>
      <c r="M115" s="1" t="s">
        <v>993</v>
      </c>
      <c r="N115" s="6">
        <v>45509</v>
      </c>
      <c r="O115" s="6">
        <v>45657</v>
      </c>
      <c r="P115" s="1" t="s">
        <v>1357</v>
      </c>
    </row>
    <row r="116" spans="1:16" hidden="1" x14ac:dyDescent="0.25">
      <c r="A116" s="4">
        <v>112</v>
      </c>
      <c r="B116" s="2" t="str">
        <f>HYPERLINK("https://my.zakupivli.pro/remote/dispatcher/state_purchase_view/51765343", "UA-2024-06-21-000484-a")</f>
        <v>UA-2024-06-21-000484-a</v>
      </c>
      <c r="C116" s="2" t="str">
        <f>HYPERLINK("https://my.zakupivli.pro/remote/dispatcher/state_contracting_view/20787964", "UA-2024-06-21-000484-a-a1")</f>
        <v>UA-2024-06-21-000484-a-a1</v>
      </c>
      <c r="D116" s="1" t="s">
        <v>762</v>
      </c>
      <c r="E116" s="1" t="s">
        <v>1068</v>
      </c>
      <c r="F116" s="1" t="s">
        <v>1067</v>
      </c>
      <c r="G116" s="1" t="s">
        <v>315</v>
      </c>
      <c r="H116" s="1" t="s">
        <v>894</v>
      </c>
      <c r="I116" s="1" t="s">
        <v>1018</v>
      </c>
      <c r="J116" s="1" t="s">
        <v>330</v>
      </c>
      <c r="K116" s="1" t="s">
        <v>66</v>
      </c>
      <c r="L116" s="5">
        <v>6400</v>
      </c>
      <c r="M116" s="1" t="s">
        <v>1293</v>
      </c>
      <c r="N116" s="6">
        <v>45463</v>
      </c>
      <c r="O116" s="6">
        <v>45657</v>
      </c>
      <c r="P116" s="1" t="s">
        <v>1357</v>
      </c>
    </row>
    <row r="117" spans="1:16" hidden="1" x14ac:dyDescent="0.25">
      <c r="A117" s="4">
        <v>113</v>
      </c>
      <c r="B117" s="2" t="str">
        <f>HYPERLINK("https://my.zakupivli.pro/remote/dispatcher/state_purchase_view/51764553", "UA-2024-06-21-000150-a")</f>
        <v>UA-2024-06-21-000150-a</v>
      </c>
      <c r="C117" s="2" t="str">
        <f>HYPERLINK("https://my.zakupivli.pro/remote/dispatcher/state_contracting_view/20787598", "UA-2024-06-21-000150-a-b1")</f>
        <v>UA-2024-06-21-000150-a-b1</v>
      </c>
      <c r="D117" s="1" t="s">
        <v>30</v>
      </c>
      <c r="E117" s="1" t="s">
        <v>1080</v>
      </c>
      <c r="F117" s="1" t="s">
        <v>1079</v>
      </c>
      <c r="G117" s="1" t="s">
        <v>415</v>
      </c>
      <c r="H117" s="1" t="s">
        <v>894</v>
      </c>
      <c r="I117" s="1" t="s">
        <v>963</v>
      </c>
      <c r="J117" s="1" t="s">
        <v>298</v>
      </c>
      <c r="K117" s="1" t="s">
        <v>645</v>
      </c>
      <c r="L117" s="5">
        <v>21337</v>
      </c>
      <c r="M117" s="1" t="s">
        <v>993</v>
      </c>
      <c r="N117" s="6">
        <v>45462</v>
      </c>
      <c r="O117" s="6">
        <v>45657</v>
      </c>
      <c r="P117" s="1" t="s">
        <v>1357</v>
      </c>
    </row>
    <row r="118" spans="1:16" hidden="1" x14ac:dyDescent="0.25">
      <c r="A118" s="4">
        <v>114</v>
      </c>
      <c r="B118" s="2" t="str">
        <f>HYPERLINK("https://my.zakupivli.pro/remote/dispatcher/state_purchase_view/51079239", "UA-2024-05-17-007463-a")</f>
        <v>UA-2024-05-17-007463-a</v>
      </c>
      <c r="C118" s="2" t="str">
        <f>HYPERLINK("https://my.zakupivli.pro/remote/dispatcher/state_contracting_view/20333498", "UA-2024-05-17-007463-a-c1")</f>
        <v>UA-2024-05-17-007463-a-c1</v>
      </c>
      <c r="D118" s="1" t="s">
        <v>123</v>
      </c>
      <c r="E118" s="1" t="s">
        <v>1315</v>
      </c>
      <c r="F118" s="1" t="s">
        <v>1315</v>
      </c>
      <c r="G118" s="1" t="s">
        <v>304</v>
      </c>
      <c r="H118" s="1" t="s">
        <v>894</v>
      </c>
      <c r="I118" s="1" t="s">
        <v>1289</v>
      </c>
      <c r="J118" s="1" t="s">
        <v>168</v>
      </c>
      <c r="K118" s="1" t="s">
        <v>591</v>
      </c>
      <c r="L118" s="5">
        <v>616</v>
      </c>
      <c r="M118" s="1" t="s">
        <v>993</v>
      </c>
      <c r="N118" s="6">
        <v>45429</v>
      </c>
      <c r="O118" s="6">
        <v>45657</v>
      </c>
      <c r="P118" s="1" t="s">
        <v>1357</v>
      </c>
    </row>
    <row r="119" spans="1:16" hidden="1" x14ac:dyDescent="0.25">
      <c r="A119" s="4">
        <v>115</v>
      </c>
      <c r="B119" s="2" t="str">
        <f>HYPERLINK("https://my.zakupivli.pro/remote/dispatcher/state_purchase_view/48281446", "UA-2024-01-11-004301-a")</f>
        <v>UA-2024-01-11-004301-a</v>
      </c>
      <c r="C119" s="2" t="str">
        <f>HYPERLINK("https://my.zakupivli.pro/remote/dispatcher/state_contracting_view/18875876", "UA-2024-01-11-004301-a-b1")</f>
        <v>UA-2024-01-11-004301-a-b1</v>
      </c>
      <c r="D119" s="1" t="s">
        <v>103</v>
      </c>
      <c r="E119" s="1" t="s">
        <v>1150</v>
      </c>
      <c r="F119" s="1" t="s">
        <v>1146</v>
      </c>
      <c r="G119" s="1" t="s">
        <v>551</v>
      </c>
      <c r="H119" s="1" t="s">
        <v>894</v>
      </c>
      <c r="I119" s="1" t="s">
        <v>830</v>
      </c>
      <c r="J119" s="1" t="s">
        <v>232</v>
      </c>
      <c r="K119" s="1" t="s">
        <v>198</v>
      </c>
      <c r="L119" s="5">
        <v>28800</v>
      </c>
      <c r="M119" s="1" t="s">
        <v>993</v>
      </c>
      <c r="N119" s="6">
        <v>45301</v>
      </c>
      <c r="O119" s="6">
        <v>45657</v>
      </c>
      <c r="P119" s="1" t="s">
        <v>1357</v>
      </c>
    </row>
    <row r="120" spans="1:16" hidden="1" x14ac:dyDescent="0.25">
      <c r="A120" s="4">
        <v>116</v>
      </c>
      <c r="B120" s="2" t="str">
        <f>HYPERLINK("https://my.zakupivli.pro/remote/dispatcher/state_purchase_view/54044290", "UA-2024-10-16-007777-a")</f>
        <v>UA-2024-10-16-007777-a</v>
      </c>
      <c r="C120" s="2" t="str">
        <f>HYPERLINK("https://my.zakupivli.pro/remote/dispatcher/state_contracting_view/21771993", "UA-2024-10-16-007777-a-a1")</f>
        <v>UA-2024-10-16-007777-a-a1</v>
      </c>
      <c r="D120" s="1" t="s">
        <v>519</v>
      </c>
      <c r="E120" s="1" t="s">
        <v>878</v>
      </c>
      <c r="F120" s="1" t="s">
        <v>878</v>
      </c>
      <c r="G120" s="1" t="s">
        <v>525</v>
      </c>
      <c r="H120" s="1" t="s">
        <v>894</v>
      </c>
      <c r="I120" s="1" t="s">
        <v>819</v>
      </c>
      <c r="J120" s="1" t="s">
        <v>149</v>
      </c>
      <c r="K120" s="1" t="s">
        <v>14</v>
      </c>
      <c r="L120" s="5">
        <v>1248.07</v>
      </c>
      <c r="M120" s="1" t="s">
        <v>993</v>
      </c>
      <c r="N120" s="6">
        <v>45581</v>
      </c>
      <c r="O120" s="6">
        <v>45657</v>
      </c>
      <c r="P120" s="1" t="s">
        <v>1357</v>
      </c>
    </row>
    <row r="121" spans="1:16" hidden="1" x14ac:dyDescent="0.25">
      <c r="A121" s="4">
        <v>117</v>
      </c>
      <c r="B121" s="2" t="str">
        <f>HYPERLINK("https://my.zakupivli.pro/remote/dispatcher/state_purchase_view/48282959", "UA-2024-01-11-004895-a")</f>
        <v>UA-2024-01-11-004895-a</v>
      </c>
      <c r="C121" s="2" t="str">
        <f>HYPERLINK("https://my.zakupivli.pro/remote/dispatcher/state_contracting_view/18876501", "UA-2024-01-11-004895-a-b1")</f>
        <v>UA-2024-01-11-004895-a-b1</v>
      </c>
      <c r="D121" s="1" t="s">
        <v>78</v>
      </c>
      <c r="E121" s="1" t="s">
        <v>1158</v>
      </c>
      <c r="F121" s="1" t="s">
        <v>1143</v>
      </c>
      <c r="G121" s="1" t="s">
        <v>553</v>
      </c>
      <c r="H121" s="1" t="s">
        <v>894</v>
      </c>
      <c r="I121" s="1" t="s">
        <v>1021</v>
      </c>
      <c r="J121" s="1" t="s">
        <v>279</v>
      </c>
      <c r="K121" s="1" t="s">
        <v>299</v>
      </c>
      <c r="L121" s="5">
        <v>8100</v>
      </c>
      <c r="M121" s="1" t="s">
        <v>993</v>
      </c>
      <c r="N121" s="6">
        <v>45301</v>
      </c>
      <c r="O121" s="6">
        <v>45657</v>
      </c>
      <c r="P121" s="1" t="s">
        <v>1357</v>
      </c>
    </row>
    <row r="122" spans="1:16" hidden="1" x14ac:dyDescent="0.25">
      <c r="A122" s="4">
        <v>118</v>
      </c>
      <c r="B122" s="2" t="str">
        <f>HYPERLINK("https://my.zakupivli.pro/remote/dispatcher/state_purchase_view/55036899", "UA-2024-11-22-001811-a")</f>
        <v>UA-2024-11-22-001811-a</v>
      </c>
      <c r="C122" s="2" t="str">
        <f>HYPERLINK("https://my.zakupivli.pro/remote/dispatcher/state_contracting_view/22199107", "UA-2024-11-22-001811-a-a1")</f>
        <v>UA-2024-11-22-001811-a-a1</v>
      </c>
      <c r="D122" s="1" t="s">
        <v>692</v>
      </c>
      <c r="E122" s="1" t="s">
        <v>1204</v>
      </c>
      <c r="F122" s="1" t="s">
        <v>1203</v>
      </c>
      <c r="G122" s="1" t="s">
        <v>95</v>
      </c>
      <c r="H122" s="1" t="s">
        <v>894</v>
      </c>
      <c r="I122" s="1" t="s">
        <v>1289</v>
      </c>
      <c r="J122" s="1" t="s">
        <v>168</v>
      </c>
      <c r="K122" s="1" t="s">
        <v>116</v>
      </c>
      <c r="L122" s="5">
        <v>324.60000000000002</v>
      </c>
      <c r="M122" s="1" t="s">
        <v>993</v>
      </c>
      <c r="N122" s="6">
        <v>45617</v>
      </c>
      <c r="O122" s="6">
        <v>45657</v>
      </c>
      <c r="P122" s="1" t="s">
        <v>1357</v>
      </c>
    </row>
    <row r="123" spans="1:16" hidden="1" x14ac:dyDescent="0.25">
      <c r="A123" s="4">
        <v>119</v>
      </c>
      <c r="B123" s="2" t="str">
        <f>HYPERLINK("https://my.zakupivli.pro/remote/dispatcher/state_purchase_view/48264990", "UA-2024-01-10-007800-a")</f>
        <v>UA-2024-01-10-007800-a</v>
      </c>
      <c r="C123" s="2" t="str">
        <f>HYPERLINK("https://my.zakupivli.pro/remote/dispatcher/state_contracting_view/18869600", "UA-2024-01-10-007800-a-a1")</f>
        <v>UA-2024-01-10-007800-a-a1</v>
      </c>
      <c r="D123" s="1" t="s">
        <v>641</v>
      </c>
      <c r="E123" s="1" t="s">
        <v>1139</v>
      </c>
      <c r="F123" s="1" t="s">
        <v>1139</v>
      </c>
      <c r="G123" s="1" t="s">
        <v>469</v>
      </c>
      <c r="H123" s="1" t="s">
        <v>894</v>
      </c>
      <c r="I123" s="1" t="s">
        <v>1018</v>
      </c>
      <c r="J123" s="1" t="s">
        <v>330</v>
      </c>
      <c r="K123" s="1" t="s">
        <v>431</v>
      </c>
      <c r="L123" s="5">
        <v>8400</v>
      </c>
      <c r="M123" s="1" t="s">
        <v>1293</v>
      </c>
      <c r="N123" s="6">
        <v>45301</v>
      </c>
      <c r="O123" s="6">
        <v>45657</v>
      </c>
      <c r="P123" s="1" t="s">
        <v>1357</v>
      </c>
    </row>
    <row r="124" spans="1:16" hidden="1" x14ac:dyDescent="0.25">
      <c r="A124" s="4">
        <v>120</v>
      </c>
      <c r="B124" s="2" t="str">
        <f>HYPERLINK("https://my.zakupivli.pro/remote/dispatcher/state_purchase_view/48285856", "UA-2024-01-11-006062-a")</f>
        <v>UA-2024-01-11-006062-a</v>
      </c>
      <c r="C124" s="2" t="str">
        <f>HYPERLINK("https://my.zakupivli.pro/remote/dispatcher/state_contracting_view/18877516", "UA-2024-01-11-006062-a-c1")</f>
        <v>UA-2024-01-11-006062-a-c1</v>
      </c>
      <c r="D124" s="1" t="s">
        <v>518</v>
      </c>
      <c r="E124" s="1" t="s">
        <v>1010</v>
      </c>
      <c r="F124" s="1" t="s">
        <v>1013</v>
      </c>
      <c r="G124" s="1" t="s">
        <v>577</v>
      </c>
      <c r="H124" s="1" t="s">
        <v>894</v>
      </c>
      <c r="I124" s="1" t="s">
        <v>1274</v>
      </c>
      <c r="J124" s="1" t="s">
        <v>339</v>
      </c>
      <c r="K124" s="1" t="s">
        <v>1060</v>
      </c>
      <c r="L124" s="5">
        <v>7200</v>
      </c>
      <c r="M124" s="1" t="s">
        <v>993</v>
      </c>
      <c r="N124" s="6">
        <v>45301</v>
      </c>
      <c r="O124" s="6">
        <v>45657</v>
      </c>
      <c r="P124" s="1" t="s">
        <v>1357</v>
      </c>
    </row>
    <row r="125" spans="1:16" hidden="1" x14ac:dyDescent="0.25">
      <c r="A125" s="4">
        <v>121</v>
      </c>
      <c r="B125" s="2" t="str">
        <f>HYPERLINK("https://my.zakupivli.pro/remote/dispatcher/state_purchase_view/52543852", "UA-2024-08-06-007079-a")</f>
        <v>UA-2024-08-06-007079-a</v>
      </c>
      <c r="C125" s="2" t="str">
        <f>HYPERLINK("https://my.zakupivli.pro/remote/dispatcher/state_contracting_view/21127845", "UA-2024-08-06-007079-a-c1")</f>
        <v>UA-2024-08-06-007079-a-c1</v>
      </c>
      <c r="D125" s="1" t="s">
        <v>248</v>
      </c>
      <c r="E125" s="1" t="s">
        <v>984</v>
      </c>
      <c r="F125" s="1" t="s">
        <v>984</v>
      </c>
      <c r="G125" s="1" t="s">
        <v>596</v>
      </c>
      <c r="H125" s="1" t="s">
        <v>894</v>
      </c>
      <c r="I125" s="1" t="s">
        <v>1257</v>
      </c>
      <c r="J125" s="1" t="s">
        <v>423</v>
      </c>
      <c r="K125" s="1" t="s">
        <v>155</v>
      </c>
      <c r="L125" s="5">
        <v>1400</v>
      </c>
      <c r="M125" s="1" t="s">
        <v>993</v>
      </c>
      <c r="N125" s="6">
        <v>45510</v>
      </c>
      <c r="O125" s="6">
        <v>45657</v>
      </c>
      <c r="P125" s="1" t="s">
        <v>1357</v>
      </c>
    </row>
    <row r="126" spans="1:16" hidden="1" x14ac:dyDescent="0.25">
      <c r="A126" s="4">
        <v>122</v>
      </c>
      <c r="B126" s="2" t="str">
        <f>HYPERLINK("https://my.zakupivli.pro/remote/dispatcher/state_purchase_view/50303859", "UA-2024-04-09-005826-a")</f>
        <v>UA-2024-04-09-005826-a</v>
      </c>
      <c r="C126" s="2" t="str">
        <f>HYPERLINK("https://my.zakupivli.pro/remote/dispatcher/state_contracting_view/19740780", "UA-2024-04-09-005826-a-a1")</f>
        <v>UA-2024-04-09-005826-a-a1</v>
      </c>
      <c r="D126" s="1" t="s">
        <v>503</v>
      </c>
      <c r="E126" s="1" t="s">
        <v>964</v>
      </c>
      <c r="F126" s="1" t="s">
        <v>964</v>
      </c>
      <c r="G126" s="1" t="s">
        <v>333</v>
      </c>
      <c r="H126" s="1" t="s">
        <v>894</v>
      </c>
      <c r="I126" s="1" t="s">
        <v>1332</v>
      </c>
      <c r="J126" s="1" t="s">
        <v>321</v>
      </c>
      <c r="K126" s="1" t="s">
        <v>588</v>
      </c>
      <c r="L126" s="5">
        <v>4290</v>
      </c>
      <c r="M126" s="1" t="s">
        <v>993</v>
      </c>
      <c r="N126" s="6">
        <v>45391</v>
      </c>
      <c r="O126" s="6">
        <v>45657</v>
      </c>
      <c r="P126" s="1" t="s">
        <v>1357</v>
      </c>
    </row>
    <row r="127" spans="1:16" hidden="1" x14ac:dyDescent="0.25">
      <c r="A127" s="4">
        <v>123</v>
      </c>
      <c r="B127" s="2" t="str">
        <f>HYPERLINK("https://my.zakupivli.pro/remote/dispatcher/state_purchase_view/50964760", "UA-2024-05-13-006446-a")</f>
        <v>UA-2024-05-13-006446-a</v>
      </c>
      <c r="C127" s="2" t="str">
        <f>HYPERLINK("https://my.zakupivli.pro/remote/dispatcher/state_contracting_view/20284562", "UA-2024-05-13-006446-a-c1")</f>
        <v>UA-2024-05-13-006446-a-c1</v>
      </c>
      <c r="D127" s="1" t="s">
        <v>676</v>
      </c>
      <c r="E127" s="1" t="s">
        <v>1091</v>
      </c>
      <c r="F127" s="1" t="s">
        <v>1057</v>
      </c>
      <c r="G127" s="1" t="s">
        <v>471</v>
      </c>
      <c r="H127" s="1" t="s">
        <v>894</v>
      </c>
      <c r="I127" s="1" t="s">
        <v>1018</v>
      </c>
      <c r="J127" s="1" t="s">
        <v>330</v>
      </c>
      <c r="K127" s="1" t="s">
        <v>219</v>
      </c>
      <c r="L127" s="5">
        <v>2998.2</v>
      </c>
      <c r="M127" s="1" t="s">
        <v>1293</v>
      </c>
      <c r="N127" s="6">
        <v>45425</v>
      </c>
      <c r="O127" s="6">
        <v>45657</v>
      </c>
      <c r="P127" s="1" t="s">
        <v>1357</v>
      </c>
    </row>
    <row r="128" spans="1:16" hidden="1" x14ac:dyDescent="0.25">
      <c r="A128" s="4">
        <v>124</v>
      </c>
      <c r="B128" s="2" t="str">
        <f>HYPERLINK("https://my.zakupivli.pro/remote/dispatcher/state_purchase_view/48257181", "UA-2024-01-10-004629-a")</f>
        <v>UA-2024-01-10-004629-a</v>
      </c>
      <c r="C128" s="2" t="str">
        <f>HYPERLINK("https://my.zakupivli.pro/remote/dispatcher/state_contracting_view/18866459", "UA-2024-01-10-004629-a-c1")</f>
        <v>UA-2024-01-10-004629-a-c1</v>
      </c>
      <c r="D128" s="1" t="s">
        <v>317</v>
      </c>
      <c r="E128" s="1" t="s">
        <v>1093</v>
      </c>
      <c r="F128" s="1" t="s">
        <v>1133</v>
      </c>
      <c r="G128" s="1" t="s">
        <v>632</v>
      </c>
      <c r="H128" s="1" t="s">
        <v>894</v>
      </c>
      <c r="I128" s="1" t="s">
        <v>1019</v>
      </c>
      <c r="J128" s="1" t="s">
        <v>36</v>
      </c>
      <c r="K128" s="1" t="s">
        <v>666</v>
      </c>
      <c r="L128" s="5">
        <v>15300.4</v>
      </c>
      <c r="M128" s="1" t="s">
        <v>1293</v>
      </c>
      <c r="N128" s="6">
        <v>44936</v>
      </c>
      <c r="O128" s="6">
        <v>45657</v>
      </c>
      <c r="P128" s="1" t="s">
        <v>1357</v>
      </c>
    </row>
    <row r="129" spans="1:16" hidden="1" x14ac:dyDescent="0.25">
      <c r="A129" s="4">
        <v>125</v>
      </c>
      <c r="B129" s="2" t="str">
        <f>HYPERLINK("https://my.zakupivli.pro/remote/dispatcher/state_purchase_view/53395559", "UA-2024-09-18-003934-a")</f>
        <v>UA-2024-09-18-003934-a</v>
      </c>
      <c r="C129" s="2" t="str">
        <f>HYPERLINK("https://my.zakupivli.pro/remote/dispatcher/state_contracting_view/21494083", "UA-2024-09-18-003934-a-a1")</f>
        <v>UA-2024-09-18-003934-a-a1</v>
      </c>
      <c r="D129" s="1" t="s">
        <v>671</v>
      </c>
      <c r="E129" s="1" t="s">
        <v>1168</v>
      </c>
      <c r="F129" s="1" t="s">
        <v>1168</v>
      </c>
      <c r="G129" s="1" t="s">
        <v>465</v>
      </c>
      <c r="H129" s="1" t="s">
        <v>894</v>
      </c>
      <c r="I129" s="1" t="s">
        <v>1287</v>
      </c>
      <c r="J129" s="1" t="s">
        <v>411</v>
      </c>
      <c r="K129" s="1" t="s">
        <v>101</v>
      </c>
      <c r="L129" s="5">
        <v>23520</v>
      </c>
      <c r="M129" s="1" t="s">
        <v>993</v>
      </c>
      <c r="N129" s="6">
        <v>45553</v>
      </c>
      <c r="O129" s="6">
        <v>45657</v>
      </c>
      <c r="P129" s="1" t="s">
        <v>1357</v>
      </c>
    </row>
    <row r="130" spans="1:16" hidden="1" x14ac:dyDescent="0.25">
      <c r="A130" s="4">
        <v>126</v>
      </c>
      <c r="B130" s="2" t="str">
        <f>HYPERLINK("https://my.zakupivli.pro/remote/dispatcher/state_purchase_view/55035893", "UA-2024-11-22-001415-a")</f>
        <v>UA-2024-11-22-001415-a</v>
      </c>
      <c r="C130" s="2" t="str">
        <f>HYPERLINK("https://my.zakupivli.pro/remote/dispatcher/state_contracting_view/22198681", "UA-2024-11-22-001415-a-a1")</f>
        <v>UA-2024-11-22-001415-a-a1</v>
      </c>
      <c r="D130" s="1" t="s">
        <v>679</v>
      </c>
      <c r="E130" s="1" t="s">
        <v>1255</v>
      </c>
      <c r="F130" s="1" t="s">
        <v>1255</v>
      </c>
      <c r="G130" s="1" t="s">
        <v>96</v>
      </c>
      <c r="H130" s="1" t="s">
        <v>894</v>
      </c>
      <c r="I130" s="1" t="s">
        <v>1289</v>
      </c>
      <c r="J130" s="1" t="s">
        <v>168</v>
      </c>
      <c r="K130" s="1" t="s">
        <v>116</v>
      </c>
      <c r="L130" s="5">
        <v>1012.7</v>
      </c>
      <c r="M130" s="1" t="s">
        <v>993</v>
      </c>
      <c r="N130" s="6">
        <v>45617</v>
      </c>
      <c r="O130" s="6">
        <v>45657</v>
      </c>
      <c r="P130" s="1" t="s">
        <v>1357</v>
      </c>
    </row>
    <row r="131" spans="1:16" hidden="1" x14ac:dyDescent="0.25">
      <c r="A131" s="4">
        <v>127</v>
      </c>
      <c r="B131" s="2" t="str">
        <f>HYPERLINK("https://my.zakupivli.pro/remote/dispatcher/state_purchase_view/50576083", "UA-2024-04-22-009009-a")</f>
        <v>UA-2024-04-22-009009-a</v>
      </c>
      <c r="C131" s="2" t="str">
        <f>HYPERLINK("https://my.zakupivli.pro/remote/dispatcher/state_contracting_view/19862597", "UA-2024-04-22-009009-a-b1")</f>
        <v>UA-2024-04-22-009009-a-b1</v>
      </c>
      <c r="D131" s="1" t="s">
        <v>726</v>
      </c>
      <c r="E131" s="1" t="s">
        <v>1177</v>
      </c>
      <c r="F131" s="1" t="s">
        <v>1177</v>
      </c>
      <c r="G131" s="1" t="s">
        <v>556</v>
      </c>
      <c r="H131" s="1" t="s">
        <v>894</v>
      </c>
      <c r="I131" s="1" t="s">
        <v>1334</v>
      </c>
      <c r="J131" s="1" t="s">
        <v>214</v>
      </c>
      <c r="K131" s="1" t="s">
        <v>285</v>
      </c>
      <c r="L131" s="5">
        <v>38000</v>
      </c>
      <c r="M131" s="1" t="s">
        <v>993</v>
      </c>
      <c r="N131" s="6">
        <v>45404</v>
      </c>
      <c r="O131" s="6">
        <v>45657</v>
      </c>
      <c r="P131" s="1" t="s">
        <v>1357</v>
      </c>
    </row>
    <row r="132" spans="1:16" hidden="1" x14ac:dyDescent="0.25">
      <c r="A132" s="4">
        <v>128</v>
      </c>
      <c r="B132" s="2" t="str">
        <f>HYPERLINK("https://my.zakupivli.pro/remote/dispatcher/state_purchase_view/51760083", "UA-2024-06-20-010320-a")</f>
        <v>UA-2024-06-20-010320-a</v>
      </c>
      <c r="C132" s="2" t="str">
        <f>HYPERLINK("https://my.zakupivli.pro/remote/dispatcher/state_contracting_view/20785794", "UA-2024-06-20-010320-a-b1")</f>
        <v>UA-2024-06-20-010320-a-b1</v>
      </c>
      <c r="D132" s="1" t="s">
        <v>498</v>
      </c>
      <c r="E132" s="1" t="s">
        <v>1194</v>
      </c>
      <c r="F132" s="1" t="s">
        <v>842</v>
      </c>
      <c r="G132" s="1" t="s">
        <v>51</v>
      </c>
      <c r="H132" s="1" t="s">
        <v>894</v>
      </c>
      <c r="I132" s="1" t="s">
        <v>1264</v>
      </c>
      <c r="J132" s="1" t="s">
        <v>398</v>
      </c>
      <c r="K132" s="1" t="s">
        <v>345</v>
      </c>
      <c r="L132" s="5">
        <v>3359.4</v>
      </c>
      <c r="M132" s="1" t="s">
        <v>1293</v>
      </c>
      <c r="N132" s="6">
        <v>45462</v>
      </c>
      <c r="O132" s="6">
        <v>45657</v>
      </c>
      <c r="P132" s="1" t="s">
        <v>1357</v>
      </c>
    </row>
    <row r="133" spans="1:16" hidden="1" x14ac:dyDescent="0.25">
      <c r="A133" s="4">
        <v>129</v>
      </c>
      <c r="B133" s="2" t="str">
        <f>HYPERLINK("https://my.zakupivli.pro/remote/dispatcher/state_purchase_view/52518648", "UA-2024-08-05-007525-a")</f>
        <v>UA-2024-08-05-007525-a</v>
      </c>
      <c r="C133" s="2" t="str">
        <f>HYPERLINK("https://my.zakupivli.pro/remote/dispatcher/state_contracting_view/21116784", "UA-2024-08-05-007525-a-a1")</f>
        <v>UA-2024-08-05-007525-a-a1</v>
      </c>
      <c r="D133" s="1" t="s">
        <v>397</v>
      </c>
      <c r="E133" s="1" t="s">
        <v>1034</v>
      </c>
      <c r="F133" s="1" t="s">
        <v>1033</v>
      </c>
      <c r="G133" s="1" t="s">
        <v>132</v>
      </c>
      <c r="H133" s="1" t="s">
        <v>894</v>
      </c>
      <c r="I133" s="1" t="s">
        <v>1289</v>
      </c>
      <c r="J133" s="1" t="s">
        <v>168</v>
      </c>
      <c r="K133" s="1" t="s">
        <v>93</v>
      </c>
      <c r="L133" s="5">
        <v>1800</v>
      </c>
      <c r="M133" s="1" t="s">
        <v>993</v>
      </c>
      <c r="N133" s="6">
        <v>45509</v>
      </c>
      <c r="O133" s="6">
        <v>45657</v>
      </c>
      <c r="P133" s="1" t="s">
        <v>1357</v>
      </c>
    </row>
    <row r="134" spans="1:16" hidden="1" x14ac:dyDescent="0.25">
      <c r="A134" s="4">
        <v>130</v>
      </c>
      <c r="B134" s="2" t="str">
        <f>HYPERLINK("https://my.zakupivli.pro/remote/dispatcher/state_purchase_view/54614734", "UA-2024-11-07-007922-a")</f>
        <v>UA-2024-11-07-007922-a</v>
      </c>
      <c r="C134" s="2" t="str">
        <f>HYPERLINK("https://my.zakupivli.pro/remote/dispatcher/state_contracting_view/22018614", "UA-2024-11-07-007922-a-a1")</f>
        <v>UA-2024-11-07-007922-a-a1</v>
      </c>
      <c r="D134" s="1" t="s">
        <v>608</v>
      </c>
      <c r="E134" s="1" t="s">
        <v>326</v>
      </c>
      <c r="F134" s="1" t="s">
        <v>1323</v>
      </c>
      <c r="G134" s="1" t="s">
        <v>327</v>
      </c>
      <c r="H134" s="1" t="s">
        <v>894</v>
      </c>
      <c r="I134" s="1" t="s">
        <v>1322</v>
      </c>
      <c r="J134" s="1" t="s">
        <v>240</v>
      </c>
      <c r="K134" s="1" t="s">
        <v>45</v>
      </c>
      <c r="L134" s="5">
        <v>43799</v>
      </c>
      <c r="M134" s="1" t="s">
        <v>993</v>
      </c>
      <c r="N134" s="6">
        <v>45602</v>
      </c>
      <c r="O134" s="6">
        <v>45657</v>
      </c>
      <c r="P134" s="1" t="s">
        <v>1357</v>
      </c>
    </row>
    <row r="135" spans="1:16" hidden="1" x14ac:dyDescent="0.25">
      <c r="A135" s="4">
        <v>131</v>
      </c>
      <c r="B135" s="2" t="str">
        <f>HYPERLINK("https://my.zakupivli.pro/remote/dispatcher/state_purchase_view/38287935", "UA-2022-11-02-000688-a")</f>
        <v>UA-2022-11-02-000688-a</v>
      </c>
      <c r="C135" s="2" t="str">
        <f>HYPERLINK("https://my.zakupivli.pro/remote/dispatcher/state_contracting_view/14431189", "UA-2022-11-02-000688-a-b1")</f>
        <v>UA-2022-11-02-000688-a-b1</v>
      </c>
      <c r="D135" s="1" t="s">
        <v>529</v>
      </c>
      <c r="E135" s="1" t="s">
        <v>1245</v>
      </c>
      <c r="F135" s="1" t="s">
        <v>1245</v>
      </c>
      <c r="G135" s="1" t="s">
        <v>525</v>
      </c>
      <c r="H135" s="1" t="s">
        <v>894</v>
      </c>
      <c r="I135" s="1" t="s">
        <v>1023</v>
      </c>
      <c r="J135" s="1" t="s">
        <v>149</v>
      </c>
      <c r="K135" s="1" t="s">
        <v>17</v>
      </c>
      <c r="L135" s="5">
        <v>3181.69</v>
      </c>
      <c r="M135" s="1" t="s">
        <v>993</v>
      </c>
      <c r="N135" s="6">
        <v>44860</v>
      </c>
      <c r="O135" s="6">
        <v>45311</v>
      </c>
      <c r="P135" s="1" t="s">
        <v>1357</v>
      </c>
    </row>
    <row r="136" spans="1:16" hidden="1" x14ac:dyDescent="0.25">
      <c r="A136" s="4">
        <v>132</v>
      </c>
      <c r="B136" s="2" t="str">
        <f>HYPERLINK("https://my.zakupivli.pro/remote/dispatcher/state_purchase_view/41568734", "UA-2023-03-22-006465-a")</f>
        <v>UA-2023-03-22-006465-a</v>
      </c>
      <c r="C136" s="2" t="str">
        <f>HYPERLINK("https://my.zakupivli.pro/remote/dispatcher/state_contracting_view/15948768", "UA-2023-03-22-006465-a-c1")</f>
        <v>UA-2023-03-22-006465-a-c1</v>
      </c>
      <c r="D136" s="1" t="s">
        <v>434</v>
      </c>
      <c r="E136" s="1" t="s">
        <v>1225</v>
      </c>
      <c r="F136" s="1" t="s">
        <v>1225</v>
      </c>
      <c r="G136" s="1" t="s">
        <v>119</v>
      </c>
      <c r="H136" s="1" t="s">
        <v>894</v>
      </c>
      <c r="I136" s="1" t="s">
        <v>1291</v>
      </c>
      <c r="J136" s="1" t="s">
        <v>273</v>
      </c>
      <c r="K136" s="1" t="s">
        <v>256</v>
      </c>
      <c r="L136" s="5">
        <v>9823.5</v>
      </c>
      <c r="M136" s="1" t="s">
        <v>993</v>
      </c>
      <c r="N136" s="6">
        <v>45005</v>
      </c>
      <c r="O136" s="6">
        <v>45291</v>
      </c>
      <c r="P136" s="1" t="s">
        <v>1357</v>
      </c>
    </row>
    <row r="137" spans="1:16" hidden="1" x14ac:dyDescent="0.25">
      <c r="A137" s="4">
        <v>133</v>
      </c>
      <c r="B137" s="2" t="str">
        <f>HYPERLINK("https://my.zakupivli.pro/remote/dispatcher/state_purchase_view/41898076", "UA-2023-04-10-004215-a")</f>
        <v>UA-2023-04-10-004215-a</v>
      </c>
      <c r="C137" s="2" t="str">
        <f>HYPERLINK("https://my.zakupivli.pro/remote/dispatcher/state_contracting_view/16089706", "UA-2023-04-10-004215-a-b1")</f>
        <v>UA-2023-04-10-004215-a-b1</v>
      </c>
      <c r="D137" s="1" t="s">
        <v>620</v>
      </c>
      <c r="E137" s="1" t="s">
        <v>1195</v>
      </c>
      <c r="F137" s="1" t="s">
        <v>1195</v>
      </c>
      <c r="G137" s="1" t="s">
        <v>268</v>
      </c>
      <c r="H137" s="1" t="s">
        <v>894</v>
      </c>
      <c r="I137" s="1" t="s">
        <v>1287</v>
      </c>
      <c r="J137" s="1" t="s">
        <v>411</v>
      </c>
      <c r="K137" s="1" t="s">
        <v>65</v>
      </c>
      <c r="L137" s="5">
        <v>13650</v>
      </c>
      <c r="M137" s="1" t="s">
        <v>993</v>
      </c>
      <c r="N137" s="6">
        <v>45021</v>
      </c>
      <c r="O137" s="6">
        <v>45291</v>
      </c>
      <c r="P137" s="1" t="s">
        <v>1357</v>
      </c>
    </row>
    <row r="138" spans="1:16" hidden="1" x14ac:dyDescent="0.25">
      <c r="A138" s="4">
        <v>134</v>
      </c>
      <c r="B138" s="2" t="str">
        <f>HYPERLINK("https://my.zakupivli.pro/remote/dispatcher/state_purchase_view/44154729", "UA-2023-07-26-007342-a")</f>
        <v>UA-2023-07-26-007342-a</v>
      </c>
      <c r="C138" s="2" t="str">
        <f>HYPERLINK("https://my.zakupivli.pro/remote/dispatcher/state_contracting_view/17110305", "UA-2023-07-26-007342-a-c1")</f>
        <v>UA-2023-07-26-007342-a-c1</v>
      </c>
      <c r="D138" s="1" t="s">
        <v>782</v>
      </c>
      <c r="E138" s="1" t="s">
        <v>1097</v>
      </c>
      <c r="F138" s="1" t="s">
        <v>1097</v>
      </c>
      <c r="G138" s="1" t="s">
        <v>473</v>
      </c>
      <c r="H138" s="1" t="s">
        <v>894</v>
      </c>
      <c r="I138" s="1" t="s">
        <v>1193</v>
      </c>
      <c r="J138" s="1" t="s">
        <v>376</v>
      </c>
      <c r="K138" s="1" t="s">
        <v>218</v>
      </c>
      <c r="L138" s="5">
        <v>91299.98</v>
      </c>
      <c r="M138" s="1" t="s">
        <v>1293</v>
      </c>
      <c r="N138" s="6">
        <v>45132</v>
      </c>
      <c r="O138" s="6">
        <v>45291</v>
      </c>
      <c r="P138" s="1" t="s">
        <v>1357</v>
      </c>
    </row>
    <row r="139" spans="1:16" hidden="1" x14ac:dyDescent="0.25">
      <c r="A139" s="4">
        <v>135</v>
      </c>
      <c r="B139" s="2" t="str">
        <f>HYPERLINK("https://my.zakupivli.pro/remote/dispatcher/state_purchase_view/45584712", "UA-2023-10-03-000128-a")</f>
        <v>UA-2023-10-03-000128-a</v>
      </c>
      <c r="C139" s="2" t="str">
        <f>HYPERLINK("https://my.zakupivli.pro/remote/dispatcher/state_contracting_view/17721236", "UA-2023-10-03-000128-a-b1")</f>
        <v>UA-2023-10-03-000128-a-b1</v>
      </c>
      <c r="D139" s="1" t="s">
        <v>724</v>
      </c>
      <c r="E139" s="1" t="s">
        <v>1103</v>
      </c>
      <c r="F139" s="1" t="s">
        <v>1103</v>
      </c>
      <c r="G139" s="1" t="s">
        <v>416</v>
      </c>
      <c r="H139" s="1" t="s">
        <v>894</v>
      </c>
      <c r="I139" s="1" t="s">
        <v>1022</v>
      </c>
      <c r="J139" s="1" t="s">
        <v>376</v>
      </c>
      <c r="K139" s="1" t="s">
        <v>184</v>
      </c>
      <c r="L139" s="5">
        <v>197800.53</v>
      </c>
      <c r="M139" s="1" t="s">
        <v>1293</v>
      </c>
      <c r="N139" s="6">
        <v>45198</v>
      </c>
      <c r="O139" s="6">
        <v>45291</v>
      </c>
      <c r="P139" s="1" t="s">
        <v>1357</v>
      </c>
    </row>
    <row r="140" spans="1:16" hidden="1" x14ac:dyDescent="0.25">
      <c r="A140" s="4">
        <v>136</v>
      </c>
      <c r="B140" s="2" t="str">
        <f>HYPERLINK("https://my.zakupivli.pro/remote/dispatcher/state_purchase_view/45244907", "UA-2023-09-18-007302-a")</f>
        <v>UA-2023-09-18-007302-a</v>
      </c>
      <c r="C140" s="2" t="str">
        <f>HYPERLINK("https://my.zakupivli.pro/remote/dispatcher/state_contracting_view/17805782", "UA-2023-09-18-007302-a-b1")</f>
        <v>UA-2023-09-18-007302-a-b1</v>
      </c>
      <c r="D140" s="1" t="s">
        <v>763</v>
      </c>
      <c r="E140" s="1" t="s">
        <v>870</v>
      </c>
      <c r="F140" s="1" t="s">
        <v>1252</v>
      </c>
      <c r="G140" s="1" t="s">
        <v>341</v>
      </c>
      <c r="H140" s="1" t="s">
        <v>854</v>
      </c>
      <c r="I140" s="1" t="s">
        <v>1330</v>
      </c>
      <c r="J140" s="1" t="s">
        <v>215</v>
      </c>
      <c r="K140" s="1" t="s">
        <v>115</v>
      </c>
      <c r="L140" s="5">
        <v>171319.2</v>
      </c>
      <c r="M140" s="1" t="s">
        <v>993</v>
      </c>
      <c r="N140" s="6">
        <v>45209</v>
      </c>
      <c r="O140" s="6">
        <v>45291</v>
      </c>
      <c r="P140" s="1" t="s">
        <v>1357</v>
      </c>
    </row>
    <row r="141" spans="1:16" hidden="1" x14ac:dyDescent="0.25">
      <c r="A141" s="4">
        <v>137</v>
      </c>
      <c r="B141" s="2" t="str">
        <f>HYPERLINK("https://my.zakupivli.pro/remote/dispatcher/state_purchase_view/43975742", "UA-2023-07-18-002599-a")</f>
        <v>UA-2023-07-18-002599-a</v>
      </c>
      <c r="C141" s="2" t="str">
        <f>HYPERLINK("https://my.zakupivli.pro/remote/dispatcher/state_contracting_view/17032289", "UA-2023-07-18-002599-a-a1")</f>
        <v>UA-2023-07-18-002599-a-a1</v>
      </c>
      <c r="D141" s="1" t="s">
        <v>585</v>
      </c>
      <c r="E141" s="1" t="s">
        <v>814</v>
      </c>
      <c r="F141" s="1" t="s">
        <v>1292</v>
      </c>
      <c r="G141" s="1" t="s">
        <v>291</v>
      </c>
      <c r="H141" s="1" t="s">
        <v>894</v>
      </c>
      <c r="I141" s="1" t="s">
        <v>1331</v>
      </c>
      <c r="J141" s="1" t="s">
        <v>280</v>
      </c>
      <c r="K141" s="1" t="s">
        <v>510</v>
      </c>
      <c r="L141" s="5">
        <v>3054</v>
      </c>
      <c r="M141" s="1" t="s">
        <v>1293</v>
      </c>
      <c r="N141" s="6">
        <v>45125</v>
      </c>
      <c r="O141" s="6">
        <v>45291</v>
      </c>
      <c r="P141" s="1" t="s">
        <v>1357</v>
      </c>
    </row>
    <row r="142" spans="1:16" hidden="1" x14ac:dyDescent="0.25">
      <c r="A142" s="4">
        <v>138</v>
      </c>
      <c r="B142" s="2" t="str">
        <f>HYPERLINK("https://my.zakupivli.pro/remote/dispatcher/state_purchase_view/44979047", "UA-2023-09-06-006745-a")</f>
        <v>UA-2023-09-06-006745-a</v>
      </c>
      <c r="C142" s="2" t="str">
        <f>HYPERLINK("https://my.zakupivli.pro/remote/dispatcher/state_contracting_view/17463803", "UA-2023-09-06-006745-a-c1")</f>
        <v>UA-2023-09-06-006745-a-c1</v>
      </c>
      <c r="D142" s="1" t="s">
        <v>487</v>
      </c>
      <c r="E142" s="1" t="s">
        <v>1087</v>
      </c>
      <c r="F142" s="1" t="s">
        <v>1087</v>
      </c>
      <c r="G142" s="1" t="s">
        <v>438</v>
      </c>
      <c r="H142" s="1" t="s">
        <v>894</v>
      </c>
      <c r="I142" s="1" t="s">
        <v>929</v>
      </c>
      <c r="J142" s="1" t="s">
        <v>207</v>
      </c>
      <c r="K142" s="1" t="s">
        <v>73</v>
      </c>
      <c r="L142" s="5">
        <v>2800</v>
      </c>
      <c r="M142" s="1" t="s">
        <v>1293</v>
      </c>
      <c r="N142" s="6">
        <v>45174</v>
      </c>
      <c r="O142" s="6">
        <v>45291</v>
      </c>
      <c r="P142" s="1" t="s">
        <v>1357</v>
      </c>
    </row>
    <row r="143" spans="1:16" hidden="1" x14ac:dyDescent="0.25">
      <c r="A143" s="4">
        <v>139</v>
      </c>
      <c r="B143" s="2" t="str">
        <f>HYPERLINK("https://my.zakupivli.pro/remote/dispatcher/state_purchase_view/46005249", "UA-2023-10-19-004826-a")</f>
        <v>UA-2023-10-19-004826-a</v>
      </c>
      <c r="C143" s="2" t="str">
        <f>HYPERLINK("https://my.zakupivli.pro/remote/dispatcher/state_contracting_view/17898725", "UA-2023-10-19-004826-a-b1")</f>
        <v>UA-2023-10-19-004826-a-b1</v>
      </c>
      <c r="D143" s="1" t="s">
        <v>557</v>
      </c>
      <c r="E143" s="1" t="s">
        <v>1244</v>
      </c>
      <c r="F143" s="1" t="s">
        <v>1244</v>
      </c>
      <c r="G143" s="1" t="s">
        <v>342</v>
      </c>
      <c r="H143" s="1" t="s">
        <v>894</v>
      </c>
      <c r="I143" s="1" t="s">
        <v>959</v>
      </c>
      <c r="J143" s="1" t="s">
        <v>181</v>
      </c>
      <c r="K143" s="1" t="s">
        <v>158</v>
      </c>
      <c r="L143" s="5">
        <v>32400</v>
      </c>
      <c r="M143" s="1" t="s">
        <v>993</v>
      </c>
      <c r="N143" s="6">
        <v>45217</v>
      </c>
      <c r="O143" s="6">
        <v>45291</v>
      </c>
      <c r="P143" s="1" t="s">
        <v>1357</v>
      </c>
    </row>
    <row r="144" spans="1:16" hidden="1" x14ac:dyDescent="0.25">
      <c r="A144" s="4">
        <v>140</v>
      </c>
      <c r="B144" s="2" t="str">
        <f>HYPERLINK("https://my.zakupivli.pro/remote/dispatcher/state_purchase_view/41570398", "UA-2023-03-22-007192-a")</f>
        <v>UA-2023-03-22-007192-a</v>
      </c>
      <c r="C144" s="2" t="str">
        <f>HYPERLINK("https://my.zakupivli.pro/remote/dispatcher/state_contracting_view/15949452", "UA-2023-03-22-007192-a-b1")</f>
        <v>UA-2023-03-22-007192-a-b1</v>
      </c>
      <c r="D144" s="1" t="s">
        <v>530</v>
      </c>
      <c r="E144" s="1" t="s">
        <v>906</v>
      </c>
      <c r="F144" s="1" t="s">
        <v>906</v>
      </c>
      <c r="G144" s="1" t="s">
        <v>356</v>
      </c>
      <c r="H144" s="1" t="s">
        <v>894</v>
      </c>
      <c r="I144" s="1" t="s">
        <v>1291</v>
      </c>
      <c r="J144" s="1" t="s">
        <v>273</v>
      </c>
      <c r="K144" s="1" t="s">
        <v>256</v>
      </c>
      <c r="L144" s="5">
        <v>9823.5</v>
      </c>
      <c r="M144" s="1" t="s">
        <v>993</v>
      </c>
      <c r="N144" s="6">
        <v>45005</v>
      </c>
      <c r="O144" s="6">
        <v>45291</v>
      </c>
      <c r="P144" s="1" t="s">
        <v>1357</v>
      </c>
    </row>
    <row r="145" spans="1:16" hidden="1" x14ac:dyDescent="0.25">
      <c r="A145" s="4">
        <v>141</v>
      </c>
      <c r="B145" s="2" t="str">
        <f>HYPERLINK("https://my.zakupivli.pro/remote/dispatcher/state_purchase_view/41569589", "UA-2023-03-22-006837-a")</f>
        <v>UA-2023-03-22-006837-a</v>
      </c>
      <c r="C145" s="2" t="str">
        <f>HYPERLINK("https://my.zakupivli.pro/remote/dispatcher/state_contracting_view/15949326", "UA-2023-03-22-006837-a-c1")</f>
        <v>UA-2023-03-22-006837-a-c1</v>
      </c>
      <c r="D145" s="1" t="s">
        <v>364</v>
      </c>
      <c r="E145" s="1" t="s">
        <v>975</v>
      </c>
      <c r="F145" s="1" t="s">
        <v>974</v>
      </c>
      <c r="G145" s="1" t="s">
        <v>132</v>
      </c>
      <c r="H145" s="1" t="s">
        <v>894</v>
      </c>
      <c r="I145" s="1" t="s">
        <v>1291</v>
      </c>
      <c r="J145" s="1" t="s">
        <v>273</v>
      </c>
      <c r="K145" s="1" t="s">
        <v>256</v>
      </c>
      <c r="L145" s="5">
        <v>9823.5</v>
      </c>
      <c r="M145" s="1" t="s">
        <v>993</v>
      </c>
      <c r="N145" s="6">
        <v>45005</v>
      </c>
      <c r="O145" s="6">
        <v>45291</v>
      </c>
      <c r="P145" s="1" t="s">
        <v>1357</v>
      </c>
    </row>
    <row r="146" spans="1:16" hidden="1" x14ac:dyDescent="0.25">
      <c r="A146" s="4">
        <v>142</v>
      </c>
      <c r="B146" s="2" t="str">
        <f>HYPERLINK("https://my.zakupivli.pro/remote/dispatcher/state_purchase_view/40016852", "UA-2023-01-12-003393-a")</f>
        <v>UA-2023-01-12-003393-a</v>
      </c>
      <c r="C146" s="2" t="str">
        <f>HYPERLINK("https://my.zakupivli.pro/remote/dispatcher/state_contracting_view/15241914", "UA-2023-01-12-003393-a-a1")</f>
        <v>UA-2023-01-12-003393-a-a1</v>
      </c>
      <c r="D146" s="1" t="s">
        <v>305</v>
      </c>
      <c r="E146" s="1" t="s">
        <v>1038</v>
      </c>
      <c r="F146" s="1" t="s">
        <v>812</v>
      </c>
      <c r="G146" s="1" t="s">
        <v>439</v>
      </c>
      <c r="H146" s="1" t="s">
        <v>894</v>
      </c>
      <c r="I146" s="1" t="s">
        <v>1263</v>
      </c>
      <c r="J146" s="1" t="s">
        <v>206</v>
      </c>
      <c r="K146" s="1" t="s">
        <v>61</v>
      </c>
      <c r="L146" s="5">
        <v>25200</v>
      </c>
      <c r="M146" s="1" t="s">
        <v>993</v>
      </c>
      <c r="N146" s="6">
        <v>44936</v>
      </c>
      <c r="O146" s="6">
        <v>45291</v>
      </c>
      <c r="P146" s="1" t="s">
        <v>1357</v>
      </c>
    </row>
    <row r="147" spans="1:16" hidden="1" x14ac:dyDescent="0.25">
      <c r="A147" s="4">
        <v>143</v>
      </c>
      <c r="B147" s="2" t="str">
        <f>HYPERLINK("https://my.zakupivli.pro/remote/dispatcher/state_purchase_view/43219345", "UA-2023-06-12-009481-a")</f>
        <v>UA-2023-06-12-009481-a</v>
      </c>
      <c r="C147" s="2" t="str">
        <f>HYPERLINK("https://my.zakupivli.pro/remote/dispatcher/state_contracting_view/16686941", "UA-2023-06-12-009481-a-b1")</f>
        <v>UA-2023-06-12-009481-a-b1</v>
      </c>
      <c r="D147" s="1" t="s">
        <v>587</v>
      </c>
      <c r="E147" s="1" t="s">
        <v>1249</v>
      </c>
      <c r="F147" s="1" t="s">
        <v>1248</v>
      </c>
      <c r="G147" s="1" t="s">
        <v>401</v>
      </c>
      <c r="H147" s="1" t="s">
        <v>894</v>
      </c>
      <c r="I147" s="1" t="s">
        <v>1280</v>
      </c>
      <c r="J147" s="1" t="s">
        <v>270</v>
      </c>
      <c r="K147" s="1" t="s">
        <v>513</v>
      </c>
      <c r="L147" s="5">
        <v>456.12</v>
      </c>
      <c r="M147" s="1" t="s">
        <v>1293</v>
      </c>
      <c r="N147" s="6">
        <v>45089</v>
      </c>
      <c r="O147" s="6">
        <v>45291</v>
      </c>
      <c r="P147" s="1" t="s">
        <v>1357</v>
      </c>
    </row>
    <row r="148" spans="1:16" hidden="1" x14ac:dyDescent="0.25">
      <c r="A148" s="4">
        <v>144</v>
      </c>
      <c r="B148" s="2" t="str">
        <f>HYPERLINK("https://my.zakupivli.pro/remote/dispatcher/state_purchase_view/43215962", "UA-2023-06-12-007928-a")</f>
        <v>UA-2023-06-12-007928-a</v>
      </c>
      <c r="C148" s="2" t="str">
        <f>HYPERLINK("https://my.zakupivli.pro/remote/dispatcher/state_contracting_view/16685402", "UA-2023-06-12-007928-a-c1")</f>
        <v>UA-2023-06-12-007928-a-c1</v>
      </c>
      <c r="D148" s="1" t="s">
        <v>621</v>
      </c>
      <c r="E148" s="1" t="s">
        <v>1337</v>
      </c>
      <c r="F148" s="1" t="s">
        <v>1337</v>
      </c>
      <c r="G148" s="1" t="s">
        <v>408</v>
      </c>
      <c r="H148" s="1" t="s">
        <v>894</v>
      </c>
      <c r="I148" s="1" t="s">
        <v>1280</v>
      </c>
      <c r="J148" s="1" t="s">
        <v>270</v>
      </c>
      <c r="K148" s="1" t="s">
        <v>513</v>
      </c>
      <c r="L148" s="5">
        <v>13455.12</v>
      </c>
      <c r="M148" s="1" t="s">
        <v>993</v>
      </c>
      <c r="N148" s="6">
        <v>45089</v>
      </c>
      <c r="O148" s="6">
        <v>45291</v>
      </c>
      <c r="P148" s="1" t="s">
        <v>1357</v>
      </c>
    </row>
    <row r="149" spans="1:16" hidden="1" x14ac:dyDescent="0.25">
      <c r="A149" s="4">
        <v>145</v>
      </c>
      <c r="B149" s="2" t="str">
        <f>HYPERLINK("https://my.zakupivli.pro/remote/dispatcher/state_purchase_view/43145258", "UA-2023-06-08-005928-a")</f>
        <v>UA-2023-06-08-005928-a</v>
      </c>
      <c r="C149" s="2" t="str">
        <f>HYPERLINK("https://my.zakupivli.pro/remote/dispatcher/state_contracting_view/16653077", "UA-2023-06-08-005928-a-a1")</f>
        <v>UA-2023-06-08-005928-a-a1</v>
      </c>
      <c r="D149" s="1" t="s">
        <v>637</v>
      </c>
      <c r="E149" s="1" t="s">
        <v>1201</v>
      </c>
      <c r="F149" s="1" t="s">
        <v>1201</v>
      </c>
      <c r="G149" s="1" t="s">
        <v>550</v>
      </c>
      <c r="H149" s="1" t="s">
        <v>894</v>
      </c>
      <c r="I149" s="1" t="s">
        <v>1237</v>
      </c>
      <c r="J149" s="1" t="s">
        <v>242</v>
      </c>
      <c r="K149" s="1" t="s">
        <v>68</v>
      </c>
      <c r="L149" s="5">
        <v>3727.5</v>
      </c>
      <c r="M149" s="1" t="s">
        <v>993</v>
      </c>
      <c r="N149" s="6">
        <v>45085</v>
      </c>
      <c r="O149" s="6">
        <v>45291</v>
      </c>
      <c r="P149" s="1" t="s">
        <v>1357</v>
      </c>
    </row>
    <row r="150" spans="1:16" hidden="1" x14ac:dyDescent="0.25">
      <c r="A150" s="4">
        <v>146</v>
      </c>
      <c r="B150" s="2" t="str">
        <f>HYPERLINK("https://my.zakupivli.pro/remote/dispatcher/state_purchase_view/46009579", "UA-2023-10-19-006701-a")</f>
        <v>UA-2023-10-19-006701-a</v>
      </c>
      <c r="C150" s="2" t="str">
        <f>HYPERLINK("https://my.zakupivli.pro/remote/dispatcher/state_contracting_view/17900608", "UA-2023-10-19-006701-a-b1")</f>
        <v>UA-2023-10-19-006701-a-b1</v>
      </c>
      <c r="D150" s="1" t="s">
        <v>528</v>
      </c>
      <c r="E150" s="1" t="s">
        <v>1114</v>
      </c>
      <c r="F150" s="1" t="s">
        <v>1113</v>
      </c>
      <c r="G150" s="1" t="s">
        <v>473</v>
      </c>
      <c r="H150" s="1" t="s">
        <v>894</v>
      </c>
      <c r="I150" s="1" t="s">
        <v>1193</v>
      </c>
      <c r="J150" s="1" t="s">
        <v>376</v>
      </c>
      <c r="K150" s="1" t="s">
        <v>171</v>
      </c>
      <c r="L150" s="5">
        <v>36821.68</v>
      </c>
      <c r="M150" s="1" t="s">
        <v>1293</v>
      </c>
      <c r="N150" s="6">
        <v>45217</v>
      </c>
      <c r="O150" s="6">
        <v>45291</v>
      </c>
      <c r="P150" s="1" t="s">
        <v>1357</v>
      </c>
    </row>
    <row r="151" spans="1:16" hidden="1" x14ac:dyDescent="0.25">
      <c r="A151" s="4">
        <v>147</v>
      </c>
      <c r="B151" s="2" t="str">
        <f>HYPERLINK("https://my.zakupivli.pro/remote/dispatcher/state_purchase_view/43218060", "UA-2023-06-12-008869-a")</f>
        <v>UA-2023-06-12-008869-a</v>
      </c>
      <c r="C151" s="2" t="str">
        <f>HYPERLINK("https://my.zakupivli.pro/remote/dispatcher/state_contracting_view/16686187", "UA-2023-06-12-008869-a-b1")</f>
        <v>UA-2023-06-12-008869-a-b1</v>
      </c>
      <c r="D151" s="1" t="s">
        <v>502</v>
      </c>
      <c r="E151" s="1" t="s">
        <v>844</v>
      </c>
      <c r="F151" s="1" t="s">
        <v>1352</v>
      </c>
      <c r="G151" s="1" t="s">
        <v>400</v>
      </c>
      <c r="H151" s="1" t="s">
        <v>894</v>
      </c>
      <c r="I151" s="1" t="s">
        <v>1280</v>
      </c>
      <c r="J151" s="1" t="s">
        <v>270</v>
      </c>
      <c r="K151" s="1" t="s">
        <v>513</v>
      </c>
      <c r="L151" s="5">
        <v>1280.1600000000001</v>
      </c>
      <c r="M151" s="1" t="s">
        <v>1293</v>
      </c>
      <c r="N151" s="6">
        <v>45089</v>
      </c>
      <c r="O151" s="6">
        <v>45291</v>
      </c>
      <c r="P151" s="1" t="s">
        <v>1357</v>
      </c>
    </row>
    <row r="152" spans="1:16" hidden="1" x14ac:dyDescent="0.25">
      <c r="A152" s="4">
        <v>148</v>
      </c>
      <c r="B152" s="2" t="str">
        <f>HYPERLINK("https://my.zakupivli.pro/remote/dispatcher/state_purchase_view/43493304", "UA-2023-06-22-012203-a")</f>
        <v>UA-2023-06-22-012203-a</v>
      </c>
      <c r="C152" s="2" t="str">
        <f>HYPERLINK("https://my.zakupivli.pro/remote/dispatcher/state_contracting_view/16819504", "UA-2023-06-22-012203-a-a1")</f>
        <v>UA-2023-06-22-012203-a-a1</v>
      </c>
      <c r="D152" s="1" t="s">
        <v>745</v>
      </c>
      <c r="E152" s="1" t="s">
        <v>1190</v>
      </c>
      <c r="F152" s="1" t="s">
        <v>1190</v>
      </c>
      <c r="G152" s="1" t="s">
        <v>419</v>
      </c>
      <c r="H152" s="1" t="s">
        <v>894</v>
      </c>
      <c r="I152" s="1" t="s">
        <v>1259</v>
      </c>
      <c r="J152" s="1" t="s">
        <v>353</v>
      </c>
      <c r="K152" s="1" t="s">
        <v>176</v>
      </c>
      <c r="L152" s="5">
        <v>178691.04</v>
      </c>
      <c r="M152" s="1" t="s">
        <v>1293</v>
      </c>
      <c r="N152" s="6">
        <v>45099</v>
      </c>
      <c r="O152" s="6">
        <v>45291</v>
      </c>
      <c r="P152" s="1" t="s">
        <v>1357</v>
      </c>
    </row>
    <row r="153" spans="1:16" hidden="1" x14ac:dyDescent="0.25">
      <c r="A153" s="4">
        <v>149</v>
      </c>
      <c r="B153" s="2" t="str">
        <f>HYPERLINK("https://my.zakupivli.pro/remote/dispatcher/state_purchase_view/40015078", "UA-2023-01-12-002587-a")</f>
        <v>UA-2023-01-12-002587-a</v>
      </c>
      <c r="C153" s="2" t="str">
        <f>HYPERLINK("https://my.zakupivli.pro/remote/dispatcher/state_contracting_view/15241176", "UA-2023-01-12-002587-a-a1")</f>
        <v>UA-2023-01-12-002587-a-a1</v>
      </c>
      <c r="D153" s="1" t="s">
        <v>446</v>
      </c>
      <c r="E153" s="1" t="s">
        <v>1217</v>
      </c>
      <c r="F153" s="1" t="s">
        <v>1217</v>
      </c>
      <c r="G153" s="1" t="s">
        <v>522</v>
      </c>
      <c r="H153" s="1" t="s">
        <v>894</v>
      </c>
      <c r="I153" s="1" t="s">
        <v>818</v>
      </c>
      <c r="J153" s="1" t="s">
        <v>10</v>
      </c>
      <c r="K153" s="1" t="s">
        <v>162</v>
      </c>
      <c r="L153" s="5">
        <v>1E-3</v>
      </c>
      <c r="M153" s="1" t="s">
        <v>1293</v>
      </c>
      <c r="N153" s="6">
        <v>44936</v>
      </c>
      <c r="O153" s="6">
        <v>45291</v>
      </c>
      <c r="P153" s="1" t="s">
        <v>1357</v>
      </c>
    </row>
    <row r="154" spans="1:16" hidden="1" x14ac:dyDescent="0.25">
      <c r="A154" s="4">
        <v>150</v>
      </c>
      <c r="B154" s="2" t="str">
        <f>HYPERLINK("https://my.zakupivli.pro/remote/dispatcher/state_purchase_view/40090276", "UA-2023-01-17-000270-a")</f>
        <v>UA-2023-01-17-000270-a</v>
      </c>
      <c r="C154" s="2" t="str">
        <f>HYPERLINK("https://my.zakupivli.pro/remote/dispatcher/state_contracting_view/15273574", "UA-2023-01-17-000270-a-b1")</f>
        <v>UA-2023-01-17-000270-a-b1</v>
      </c>
      <c r="D154" s="1" t="s">
        <v>652</v>
      </c>
      <c r="E154" s="1" t="s">
        <v>1134</v>
      </c>
      <c r="F154" s="1" t="s">
        <v>1134</v>
      </c>
      <c r="G154" s="1" t="s">
        <v>631</v>
      </c>
      <c r="H154" s="1" t="s">
        <v>894</v>
      </c>
      <c r="I154" s="1" t="s">
        <v>920</v>
      </c>
      <c r="J154" s="1" t="s">
        <v>37</v>
      </c>
      <c r="K154" s="1" t="s">
        <v>627</v>
      </c>
      <c r="L154" s="5">
        <v>4288.1899999999996</v>
      </c>
      <c r="M154" s="1" t="s">
        <v>1293</v>
      </c>
      <c r="N154" s="6">
        <v>44942</v>
      </c>
      <c r="O154" s="6">
        <v>45291</v>
      </c>
      <c r="P154" s="1" t="s">
        <v>1357</v>
      </c>
    </row>
    <row r="155" spans="1:16" hidden="1" x14ac:dyDescent="0.25">
      <c r="A155" s="4">
        <v>151</v>
      </c>
      <c r="B155" s="2" t="str">
        <f>HYPERLINK("https://my.zakupivli.pro/remote/dispatcher/state_purchase_view/44120005", "UA-2023-07-25-004847-a")</f>
        <v>UA-2023-07-25-004847-a</v>
      </c>
      <c r="C155" s="2" t="str">
        <f>HYPERLINK("https://my.zakupivli.pro/remote/dispatcher/state_contracting_view/17094224", "UA-2023-07-25-004847-a-c1")</f>
        <v>UA-2023-07-25-004847-a-c1</v>
      </c>
      <c r="D155" s="1" t="s">
        <v>547</v>
      </c>
      <c r="E155" s="1" t="s">
        <v>1202</v>
      </c>
      <c r="F155" s="1" t="s">
        <v>1202</v>
      </c>
      <c r="G155" s="1" t="s">
        <v>356</v>
      </c>
      <c r="H155" s="1" t="s">
        <v>894</v>
      </c>
      <c r="I155" s="1" t="s">
        <v>1335</v>
      </c>
      <c r="J155" s="1" t="s">
        <v>168</v>
      </c>
      <c r="K155" s="1" t="s">
        <v>628</v>
      </c>
      <c r="L155" s="5">
        <v>2610</v>
      </c>
      <c r="M155" s="1" t="s">
        <v>1293</v>
      </c>
      <c r="N155" s="6">
        <v>45131</v>
      </c>
      <c r="O155" s="6">
        <v>45291</v>
      </c>
      <c r="P155" s="1" t="s">
        <v>1357</v>
      </c>
    </row>
    <row r="156" spans="1:16" hidden="1" x14ac:dyDescent="0.25">
      <c r="A156" s="4">
        <v>152</v>
      </c>
      <c r="B156" s="2" t="str">
        <f>HYPERLINK("https://my.zakupivli.pro/remote/dispatcher/state_purchase_view/45514877", "UA-2023-09-28-006756-a")</f>
        <v>UA-2023-09-28-006756-a</v>
      </c>
      <c r="C156" s="2" t="str">
        <f>HYPERLINK("https://my.zakupivli.pro/remote/dispatcher/state_contracting_view/17691173", "UA-2023-09-28-006756-a-a1")</f>
        <v>UA-2023-09-28-006756-a-a1</v>
      </c>
      <c r="D156" s="1" t="s">
        <v>603</v>
      </c>
      <c r="E156" s="1" t="s">
        <v>844</v>
      </c>
      <c r="F156" s="1" t="s">
        <v>844</v>
      </c>
      <c r="G156" s="1" t="s">
        <v>400</v>
      </c>
      <c r="H156" s="1" t="s">
        <v>894</v>
      </c>
      <c r="I156" s="1" t="s">
        <v>1273</v>
      </c>
      <c r="J156" s="1" t="s">
        <v>351</v>
      </c>
      <c r="K156" s="1" t="s">
        <v>83</v>
      </c>
      <c r="L156" s="5">
        <v>4546.74</v>
      </c>
      <c r="M156" s="1" t="s">
        <v>1293</v>
      </c>
      <c r="N156" s="6">
        <v>45195</v>
      </c>
      <c r="O156" s="6">
        <v>45291</v>
      </c>
      <c r="P156" s="1" t="s">
        <v>1357</v>
      </c>
    </row>
    <row r="157" spans="1:16" hidden="1" x14ac:dyDescent="0.25">
      <c r="A157" s="4">
        <v>153</v>
      </c>
      <c r="B157" s="2" t="str">
        <f>HYPERLINK("https://my.zakupivli.pro/remote/dispatcher/state_purchase_view/45341354", "UA-2023-09-21-004529-a")</f>
        <v>UA-2023-09-21-004529-a</v>
      </c>
      <c r="C157" s="2" t="str">
        <f>HYPERLINK("https://my.zakupivli.pro/remote/dispatcher/state_contracting_view/17616961", "UA-2023-09-21-004529-a-a1")</f>
        <v>UA-2023-09-21-004529-a-a1</v>
      </c>
      <c r="D157" s="1" t="s">
        <v>316</v>
      </c>
      <c r="E157" s="1" t="s">
        <v>956</v>
      </c>
      <c r="F157" s="1" t="s">
        <v>955</v>
      </c>
      <c r="G157" s="1" t="s">
        <v>575</v>
      </c>
      <c r="H157" s="1" t="s">
        <v>894</v>
      </c>
      <c r="I157" s="1" t="s">
        <v>1016</v>
      </c>
      <c r="J157" s="1" t="s">
        <v>32</v>
      </c>
      <c r="K157" s="1" t="s">
        <v>74</v>
      </c>
      <c r="L157" s="5">
        <v>6840</v>
      </c>
      <c r="M157" s="1" t="s">
        <v>1293</v>
      </c>
      <c r="N157" s="6">
        <v>45189</v>
      </c>
      <c r="O157" s="6">
        <v>45291</v>
      </c>
      <c r="P157" s="1" t="s">
        <v>1357</v>
      </c>
    </row>
    <row r="158" spans="1:16" hidden="1" x14ac:dyDescent="0.25">
      <c r="A158" s="4">
        <v>154</v>
      </c>
      <c r="B158" s="2" t="str">
        <f>HYPERLINK("https://my.zakupivli.pro/remote/dispatcher/state_purchase_view/45576339", "UA-2023-10-02-009226-a")</f>
        <v>UA-2023-10-02-009226-a</v>
      </c>
      <c r="C158" s="2" t="str">
        <f>HYPERLINK("https://my.zakupivli.pro/remote/dispatcher/state_contracting_view/17717434", "UA-2023-10-02-009226-a-a1")</f>
        <v>UA-2023-10-02-009226-a-a1</v>
      </c>
      <c r="D158" s="1" t="s">
        <v>27</v>
      </c>
      <c r="E158" s="1" t="s">
        <v>1102</v>
      </c>
      <c r="F158" s="1" t="s">
        <v>1102</v>
      </c>
      <c r="G158" s="1" t="s">
        <v>417</v>
      </c>
      <c r="H158" s="1" t="s">
        <v>894</v>
      </c>
      <c r="I158" s="1" t="s">
        <v>1022</v>
      </c>
      <c r="J158" s="1" t="s">
        <v>376</v>
      </c>
      <c r="K158" s="1" t="s">
        <v>189</v>
      </c>
      <c r="L158" s="5">
        <v>68041.83</v>
      </c>
      <c r="M158" s="1" t="s">
        <v>1293</v>
      </c>
      <c r="N158" s="6">
        <v>45198</v>
      </c>
      <c r="O158" s="6">
        <v>45291</v>
      </c>
      <c r="P158" s="1" t="s">
        <v>1357</v>
      </c>
    </row>
    <row r="159" spans="1:16" hidden="1" x14ac:dyDescent="0.25">
      <c r="A159" s="4">
        <v>155</v>
      </c>
      <c r="B159" s="2" t="str">
        <f>HYPERLINK("https://my.zakupivli.pro/remote/dispatcher/state_purchase_view/46002173", "UA-2023-10-19-003537-a")</f>
        <v>UA-2023-10-19-003537-a</v>
      </c>
      <c r="C159" s="2" t="str">
        <f>HYPERLINK("https://my.zakupivli.pro/remote/dispatcher/state_contracting_view/17897684", "UA-2023-10-19-003537-a-b1")</f>
        <v>UA-2023-10-19-003537-a-b1</v>
      </c>
      <c r="D159" s="1" t="s">
        <v>673</v>
      </c>
      <c r="E159" s="1" t="s">
        <v>855</v>
      </c>
      <c r="F159" s="1" t="s">
        <v>855</v>
      </c>
      <c r="G159" s="1" t="s">
        <v>344</v>
      </c>
      <c r="H159" s="1" t="s">
        <v>894</v>
      </c>
      <c r="I159" s="1" t="s">
        <v>959</v>
      </c>
      <c r="J159" s="1" t="s">
        <v>181</v>
      </c>
      <c r="K159" s="1" t="s">
        <v>152</v>
      </c>
      <c r="L159" s="5">
        <v>13300</v>
      </c>
      <c r="M159" s="1" t="s">
        <v>993</v>
      </c>
      <c r="N159" s="6">
        <v>45217</v>
      </c>
      <c r="O159" s="6">
        <v>45291</v>
      </c>
      <c r="P159" s="1" t="s">
        <v>1357</v>
      </c>
    </row>
    <row r="160" spans="1:16" hidden="1" x14ac:dyDescent="0.25">
      <c r="A160" s="4">
        <v>156</v>
      </c>
      <c r="B160" s="2" t="str">
        <f>HYPERLINK("https://my.zakupivli.pro/remote/dispatcher/state_purchase_view/41568409", "UA-2023-03-22-006338-a")</f>
        <v>UA-2023-03-22-006338-a</v>
      </c>
      <c r="C160" s="2" t="str">
        <f>HYPERLINK("https://my.zakupivli.pro/remote/dispatcher/state_contracting_view/15948507", "UA-2023-03-22-006338-a-b1")</f>
        <v>UA-2023-03-22-006338-a-b1</v>
      </c>
      <c r="D160" s="1" t="s">
        <v>785</v>
      </c>
      <c r="E160" s="1" t="s">
        <v>1218</v>
      </c>
      <c r="F160" s="1" t="s">
        <v>1218</v>
      </c>
      <c r="G160" s="1" t="s">
        <v>119</v>
      </c>
      <c r="H160" s="1" t="s">
        <v>894</v>
      </c>
      <c r="I160" s="1" t="s">
        <v>1291</v>
      </c>
      <c r="J160" s="1" t="s">
        <v>273</v>
      </c>
      <c r="K160" s="1" t="s">
        <v>256</v>
      </c>
      <c r="L160" s="5">
        <v>9823.5</v>
      </c>
      <c r="M160" s="1" t="s">
        <v>993</v>
      </c>
      <c r="N160" s="6">
        <v>45005</v>
      </c>
      <c r="O160" s="6">
        <v>45291</v>
      </c>
      <c r="P160" s="1" t="s">
        <v>1357</v>
      </c>
    </row>
    <row r="161" spans="1:16" hidden="1" x14ac:dyDescent="0.25">
      <c r="A161" s="4">
        <v>157</v>
      </c>
      <c r="B161" s="2" t="str">
        <f>HYPERLINK("https://my.zakupivli.pro/remote/dispatcher/state_purchase_view/41570617", "UA-2023-03-22-007326-a")</f>
        <v>UA-2023-03-22-007326-a</v>
      </c>
      <c r="C161" s="2" t="str">
        <f>HYPERLINK("https://my.zakupivli.pro/remote/dispatcher/state_contracting_view/15949595", "UA-2023-03-22-007326-a-b1")</f>
        <v>UA-2023-03-22-007326-a-b1</v>
      </c>
      <c r="D161" s="1" t="s">
        <v>569</v>
      </c>
      <c r="E161" s="1" t="s">
        <v>969</v>
      </c>
      <c r="F161" s="1" t="s">
        <v>968</v>
      </c>
      <c r="G161" s="1" t="s">
        <v>356</v>
      </c>
      <c r="H161" s="1" t="s">
        <v>894</v>
      </c>
      <c r="I161" s="1" t="s">
        <v>1291</v>
      </c>
      <c r="J161" s="1" t="s">
        <v>273</v>
      </c>
      <c r="K161" s="1" t="s">
        <v>256</v>
      </c>
      <c r="L161" s="5">
        <v>9823.5</v>
      </c>
      <c r="M161" s="1" t="s">
        <v>993</v>
      </c>
      <c r="N161" s="6">
        <v>45005</v>
      </c>
      <c r="O161" s="6">
        <v>45291</v>
      </c>
      <c r="P161" s="1" t="s">
        <v>1357</v>
      </c>
    </row>
    <row r="162" spans="1:16" hidden="1" x14ac:dyDescent="0.25">
      <c r="A162" s="4">
        <v>158</v>
      </c>
      <c r="B162" s="2" t="str">
        <f>HYPERLINK("https://my.zakupivli.pro/remote/dispatcher/state_purchase_view/42837317", "UA-2023-05-25-005869-a")</f>
        <v>UA-2023-05-25-005869-a</v>
      </c>
      <c r="C162" s="2" t="str">
        <f>HYPERLINK("https://my.zakupivli.pro/remote/dispatcher/state_contracting_view/16514667", "UA-2023-05-25-005869-a-c1")</f>
        <v>UA-2023-05-25-005869-a-c1</v>
      </c>
      <c r="D162" s="1" t="s">
        <v>704</v>
      </c>
      <c r="E162" s="1" t="s">
        <v>1209</v>
      </c>
      <c r="F162" s="1" t="s">
        <v>1209</v>
      </c>
      <c r="G162" s="1" t="s">
        <v>288</v>
      </c>
      <c r="H162" s="1" t="s">
        <v>894</v>
      </c>
      <c r="I162" s="1" t="s">
        <v>1333</v>
      </c>
      <c r="J162" s="1" t="s">
        <v>167</v>
      </c>
      <c r="K162" s="1" t="s">
        <v>924</v>
      </c>
      <c r="L162" s="5">
        <v>31000</v>
      </c>
      <c r="M162" s="1" t="s">
        <v>993</v>
      </c>
      <c r="N162" s="6">
        <v>45070</v>
      </c>
      <c r="O162" s="6">
        <v>45291</v>
      </c>
      <c r="P162" s="1" t="s">
        <v>1357</v>
      </c>
    </row>
    <row r="163" spans="1:16" hidden="1" x14ac:dyDescent="0.25">
      <c r="A163" s="4">
        <v>159</v>
      </c>
      <c r="B163" s="2" t="str">
        <f>HYPERLINK("https://my.zakupivli.pro/remote/dispatcher/state_purchase_view/40091896", "UA-2023-01-17-001015-a")</f>
        <v>UA-2023-01-17-001015-a</v>
      </c>
      <c r="C163" s="2" t="str">
        <f>HYPERLINK("https://my.zakupivli.pro/remote/dispatcher/state_contracting_view/15274224", "UA-2023-01-17-001015-a-b1")</f>
        <v>UA-2023-01-17-001015-a-b1</v>
      </c>
      <c r="D163" s="1" t="s">
        <v>735</v>
      </c>
      <c r="E163" s="1" t="s">
        <v>1140</v>
      </c>
      <c r="F163" s="1" t="s">
        <v>1140</v>
      </c>
      <c r="G163" s="1" t="s">
        <v>553</v>
      </c>
      <c r="H163" s="1" t="s">
        <v>894</v>
      </c>
      <c r="I163" s="1" t="s">
        <v>1021</v>
      </c>
      <c r="J163" s="1" t="s">
        <v>279</v>
      </c>
      <c r="K163" s="1" t="s">
        <v>299</v>
      </c>
      <c r="L163" s="5">
        <v>8640</v>
      </c>
      <c r="M163" s="1" t="s">
        <v>993</v>
      </c>
      <c r="N163" s="6">
        <v>44938</v>
      </c>
      <c r="O163" s="6">
        <v>45291</v>
      </c>
      <c r="P163" s="1" t="s">
        <v>1357</v>
      </c>
    </row>
    <row r="164" spans="1:16" hidden="1" x14ac:dyDescent="0.25">
      <c r="A164" s="4">
        <v>160</v>
      </c>
      <c r="B164" s="2" t="str">
        <f>HYPERLINK("https://my.zakupivli.pro/remote/dispatcher/state_purchase_view/44121978", "UA-2023-07-25-005699-a")</f>
        <v>UA-2023-07-25-005699-a</v>
      </c>
      <c r="C164" s="2" t="str">
        <f>HYPERLINK("https://my.zakupivli.pro/remote/dispatcher/state_contracting_view/17095432", "UA-2023-07-25-005699-a-c1")</f>
        <v>UA-2023-07-25-005699-a-c1</v>
      </c>
      <c r="D164" s="1" t="s">
        <v>725</v>
      </c>
      <c r="E164" s="1" t="s">
        <v>1001</v>
      </c>
      <c r="F164" s="1" t="s">
        <v>1000</v>
      </c>
      <c r="G164" s="1" t="s">
        <v>355</v>
      </c>
      <c r="H164" s="1" t="s">
        <v>894</v>
      </c>
      <c r="I164" s="1" t="s">
        <v>1335</v>
      </c>
      <c r="J164" s="1" t="s">
        <v>168</v>
      </c>
      <c r="K164" s="1" t="s">
        <v>628</v>
      </c>
      <c r="L164" s="5">
        <v>510</v>
      </c>
      <c r="M164" s="1" t="s">
        <v>1293</v>
      </c>
      <c r="N164" s="6">
        <v>45131</v>
      </c>
      <c r="O164" s="6">
        <v>45291</v>
      </c>
      <c r="P164" s="1" t="s">
        <v>1357</v>
      </c>
    </row>
    <row r="165" spans="1:16" hidden="1" x14ac:dyDescent="0.25">
      <c r="A165" s="4">
        <v>161</v>
      </c>
      <c r="B165" s="2" t="str">
        <f>HYPERLINK("https://my.zakupivli.pro/remote/dispatcher/state_purchase_view/44121439", "UA-2023-07-25-005509-a")</f>
        <v>UA-2023-07-25-005509-a</v>
      </c>
      <c r="C165" s="2" t="str">
        <f>HYPERLINK("https://my.zakupivli.pro/remote/dispatcher/state_contracting_view/17095219", "UA-2023-07-25-005509-a-c1")</f>
        <v>UA-2023-07-25-005509-a-c1</v>
      </c>
      <c r="D165" s="1" t="s">
        <v>765</v>
      </c>
      <c r="E165" s="1" t="s">
        <v>1315</v>
      </c>
      <c r="F165" s="1" t="s">
        <v>1318</v>
      </c>
      <c r="G165" s="1" t="s">
        <v>304</v>
      </c>
      <c r="H165" s="1" t="s">
        <v>894</v>
      </c>
      <c r="I165" s="1" t="s">
        <v>1335</v>
      </c>
      <c r="J165" s="1" t="s">
        <v>168</v>
      </c>
      <c r="K165" s="1" t="s">
        <v>628</v>
      </c>
      <c r="L165" s="5">
        <v>336</v>
      </c>
      <c r="M165" s="1" t="s">
        <v>1293</v>
      </c>
      <c r="N165" s="6">
        <v>45131</v>
      </c>
      <c r="O165" s="6">
        <v>45291</v>
      </c>
      <c r="P165" s="1" t="s">
        <v>1357</v>
      </c>
    </row>
    <row r="166" spans="1:16" hidden="1" x14ac:dyDescent="0.25">
      <c r="A166" s="4">
        <v>162</v>
      </c>
      <c r="B166" s="2" t="str">
        <f>HYPERLINK("https://my.zakupivli.pro/remote/dispatcher/state_purchase_view/45740494", "UA-2023-10-09-011795-a")</f>
        <v>UA-2023-10-09-011795-a</v>
      </c>
      <c r="C166" s="2" t="str">
        <f>HYPERLINK("https://my.zakupivli.pro/remote/dispatcher/state_contracting_view/17786695", "UA-2023-10-09-011795-a-a1")</f>
        <v>UA-2023-10-09-011795-a-a1</v>
      </c>
      <c r="D166" s="1" t="s">
        <v>217</v>
      </c>
      <c r="E166" s="1" t="s">
        <v>1241</v>
      </c>
      <c r="F166" s="1" t="s">
        <v>1240</v>
      </c>
      <c r="G166" s="1" t="s">
        <v>596</v>
      </c>
      <c r="H166" s="1" t="s">
        <v>894</v>
      </c>
      <c r="I166" s="1" t="s">
        <v>1268</v>
      </c>
      <c r="J166" s="1" t="s">
        <v>391</v>
      </c>
      <c r="K166" s="1" t="s">
        <v>72</v>
      </c>
      <c r="L166" s="5">
        <v>1200</v>
      </c>
      <c r="M166" s="1" t="s">
        <v>993</v>
      </c>
      <c r="N166" s="6">
        <v>45208</v>
      </c>
      <c r="O166" s="6">
        <v>45291</v>
      </c>
      <c r="P166" s="1" t="s">
        <v>1357</v>
      </c>
    </row>
    <row r="167" spans="1:16" hidden="1" x14ac:dyDescent="0.25">
      <c r="A167" s="4">
        <v>163</v>
      </c>
      <c r="B167" s="2" t="str">
        <f>HYPERLINK("https://my.zakupivli.pro/remote/dispatcher/state_purchase_view/40669993", "UA-2023-02-07-009173-a")</f>
        <v>UA-2023-02-07-009173-a</v>
      </c>
      <c r="C167" s="2" t="str">
        <f>HYPERLINK("https://my.zakupivli.pro/remote/dispatcher/state_contracting_view/15540852", "UA-2023-02-07-009173-a-a1")</f>
        <v>UA-2023-02-07-009173-a-a1</v>
      </c>
      <c r="D167" s="1" t="s">
        <v>734</v>
      </c>
      <c r="E167" s="1" t="s">
        <v>1161</v>
      </c>
      <c r="F167" s="1" t="s">
        <v>1363</v>
      </c>
      <c r="G167" s="1" t="s">
        <v>520</v>
      </c>
      <c r="H167" s="1" t="s">
        <v>894</v>
      </c>
      <c r="I167" s="1" t="s">
        <v>1017</v>
      </c>
      <c r="J167" s="1" t="s">
        <v>24</v>
      </c>
      <c r="K167" s="1" t="s">
        <v>94</v>
      </c>
      <c r="L167" s="5">
        <v>1680</v>
      </c>
      <c r="M167" s="1" t="s">
        <v>1293</v>
      </c>
      <c r="N167" s="6">
        <v>44964</v>
      </c>
      <c r="O167" s="6">
        <v>45291</v>
      </c>
      <c r="P167" s="1" t="s">
        <v>1357</v>
      </c>
    </row>
    <row r="168" spans="1:16" hidden="1" x14ac:dyDescent="0.25">
      <c r="A168" s="4">
        <v>164</v>
      </c>
      <c r="B168" s="2" t="str">
        <f>HYPERLINK("https://my.zakupivli.pro/remote/dispatcher/state_purchase_view/41933683", "UA-2023-04-11-007864-a")</f>
        <v>UA-2023-04-11-007864-a</v>
      </c>
      <c r="C168" s="2" t="str">
        <f>HYPERLINK("https://my.zakupivli.pro/remote/dispatcher/state_contracting_view/16105044", "UA-2023-04-11-007864-a-b1")</f>
        <v>UA-2023-04-11-007864-a-b1</v>
      </c>
      <c r="D168" s="1" t="s">
        <v>709</v>
      </c>
      <c r="E168" s="1" t="s">
        <v>1235</v>
      </c>
      <c r="F168" s="1" t="s">
        <v>1234</v>
      </c>
      <c r="G168" s="1" t="s">
        <v>164</v>
      </c>
      <c r="H168" s="1" t="s">
        <v>894</v>
      </c>
      <c r="I168" s="1" t="s">
        <v>918</v>
      </c>
      <c r="J168" s="1" t="s">
        <v>280</v>
      </c>
      <c r="K168" s="1" t="s">
        <v>370</v>
      </c>
      <c r="L168" s="5">
        <v>1991.4</v>
      </c>
      <c r="M168" s="1" t="s">
        <v>993</v>
      </c>
      <c r="N168" s="6">
        <v>45026</v>
      </c>
      <c r="O168" s="6">
        <v>45291</v>
      </c>
      <c r="P168" s="1" t="s">
        <v>1357</v>
      </c>
    </row>
    <row r="169" spans="1:16" hidden="1" x14ac:dyDescent="0.25">
      <c r="A169" s="4">
        <v>165</v>
      </c>
      <c r="B169" s="2" t="str">
        <f>HYPERLINK("https://my.zakupivli.pro/remote/dispatcher/state_purchase_view/41571229", "UA-2023-03-22-007558-a")</f>
        <v>UA-2023-03-22-007558-a</v>
      </c>
      <c r="C169" s="2" t="str">
        <f>HYPERLINK("https://my.zakupivli.pro/remote/dispatcher/state_contracting_view/15949707", "UA-2023-03-22-007558-a-b1")</f>
        <v>UA-2023-03-22-007558-a-b1</v>
      </c>
      <c r="D169" s="1" t="s">
        <v>197</v>
      </c>
      <c r="E169" s="1" t="s">
        <v>908</v>
      </c>
      <c r="F169" s="1" t="s">
        <v>846</v>
      </c>
      <c r="G169" s="1" t="s">
        <v>356</v>
      </c>
      <c r="H169" s="1" t="s">
        <v>894</v>
      </c>
      <c r="I169" s="1" t="s">
        <v>1291</v>
      </c>
      <c r="J169" s="1" t="s">
        <v>273</v>
      </c>
      <c r="K169" s="1" t="s">
        <v>256</v>
      </c>
      <c r="L169" s="5">
        <v>9823.5</v>
      </c>
      <c r="M169" s="1" t="s">
        <v>993</v>
      </c>
      <c r="N169" s="6">
        <v>45005</v>
      </c>
      <c r="O169" s="6">
        <v>45291</v>
      </c>
      <c r="P169" s="1" t="s">
        <v>1357</v>
      </c>
    </row>
    <row r="170" spans="1:16" hidden="1" x14ac:dyDescent="0.25">
      <c r="A170" s="4">
        <v>166</v>
      </c>
      <c r="B170" s="2" t="str">
        <f>HYPERLINK("https://my.zakupivli.pro/remote/dispatcher/state_purchase_view/39988888", "UA-2023-01-11-000158-a")</f>
        <v>UA-2023-01-11-000158-a</v>
      </c>
      <c r="C170" s="2" t="str">
        <f>HYPERLINK("https://my.zakupivli.pro/remote/dispatcher/state_contracting_view/15230138", "UA-2023-01-11-000158-a-a1")</f>
        <v>UA-2023-01-11-000158-a-a1</v>
      </c>
      <c r="D170" s="1" t="s">
        <v>716</v>
      </c>
      <c r="E170" s="1" t="s">
        <v>1048</v>
      </c>
      <c r="F170" s="1" t="s">
        <v>1047</v>
      </c>
      <c r="G170" s="1" t="s">
        <v>54</v>
      </c>
      <c r="H170" s="1" t="s">
        <v>894</v>
      </c>
      <c r="I170" s="1" t="s">
        <v>1020</v>
      </c>
      <c r="J170" s="1" t="s">
        <v>35</v>
      </c>
      <c r="K170" s="1" t="s">
        <v>523</v>
      </c>
      <c r="L170" s="5">
        <v>718300</v>
      </c>
      <c r="M170" s="1" t="s">
        <v>1293</v>
      </c>
      <c r="N170" s="6">
        <v>44936</v>
      </c>
      <c r="O170" s="6">
        <v>45291</v>
      </c>
      <c r="P170" s="1" t="s">
        <v>1357</v>
      </c>
    </row>
    <row r="171" spans="1:16" hidden="1" x14ac:dyDescent="0.25">
      <c r="A171" s="4">
        <v>167</v>
      </c>
      <c r="B171" s="2" t="str">
        <f>HYPERLINK("https://my.zakupivli.pro/remote/dispatcher/state_purchase_view/40015635", "UA-2023-01-12-002840-a")</f>
        <v>UA-2023-01-12-002840-a</v>
      </c>
      <c r="C171" s="2" t="str">
        <f>HYPERLINK("https://my.zakupivli.pro/remote/dispatcher/state_contracting_view/15241520", "UA-2023-01-12-002840-a-c1")</f>
        <v>UA-2023-01-12-002840-a-c1</v>
      </c>
      <c r="D171" s="1" t="s">
        <v>21</v>
      </c>
      <c r="E171" s="1" t="s">
        <v>1066</v>
      </c>
      <c r="F171" s="1" t="s">
        <v>1066</v>
      </c>
      <c r="G171" s="1" t="s">
        <v>632</v>
      </c>
      <c r="H171" s="1" t="s">
        <v>894</v>
      </c>
      <c r="I171" s="1" t="s">
        <v>1019</v>
      </c>
      <c r="J171" s="1" t="s">
        <v>36</v>
      </c>
      <c r="K171" s="1" t="s">
        <v>665</v>
      </c>
      <c r="L171" s="5">
        <v>14660.89</v>
      </c>
      <c r="M171" s="1" t="s">
        <v>1293</v>
      </c>
      <c r="N171" s="6">
        <v>44936</v>
      </c>
      <c r="O171" s="6">
        <v>45291</v>
      </c>
      <c r="P171" s="1" t="s">
        <v>1357</v>
      </c>
    </row>
    <row r="172" spans="1:16" hidden="1" x14ac:dyDescent="0.25">
      <c r="A172" s="4">
        <v>168</v>
      </c>
      <c r="B172" s="2" t="str">
        <f>HYPERLINK("https://my.zakupivli.pro/remote/dispatcher/state_purchase_view/42836452", "UA-2023-05-25-005415-a")</f>
        <v>UA-2023-05-25-005415-a</v>
      </c>
      <c r="C172" s="2" t="str">
        <f>HYPERLINK("https://my.zakupivli.pro/remote/dispatcher/state_contracting_view/16514213", "UA-2023-05-25-005415-a-b1")</f>
        <v>UA-2023-05-25-005415-a-b1</v>
      </c>
      <c r="D172" s="1" t="s">
        <v>737</v>
      </c>
      <c r="E172" s="1" t="s">
        <v>972</v>
      </c>
      <c r="F172" s="1" t="s">
        <v>972</v>
      </c>
      <c r="G172" s="1" t="s">
        <v>288</v>
      </c>
      <c r="H172" s="1" t="s">
        <v>894</v>
      </c>
      <c r="I172" s="1" t="s">
        <v>1333</v>
      </c>
      <c r="J172" s="1" t="s">
        <v>167</v>
      </c>
      <c r="K172" s="1" t="s">
        <v>925</v>
      </c>
      <c r="L172" s="5">
        <v>27630</v>
      </c>
      <c r="M172" s="1" t="s">
        <v>993</v>
      </c>
      <c r="N172" s="6">
        <v>45070</v>
      </c>
      <c r="O172" s="6">
        <v>45291</v>
      </c>
      <c r="P172" s="1" t="s">
        <v>1357</v>
      </c>
    </row>
    <row r="173" spans="1:16" hidden="1" x14ac:dyDescent="0.25">
      <c r="A173" s="4">
        <v>169</v>
      </c>
      <c r="B173" s="2" t="str">
        <f>HYPERLINK("https://my.zakupivli.pro/remote/dispatcher/state_purchase_view/44121220", "UA-2023-07-25-005356-a")</f>
        <v>UA-2023-07-25-005356-a</v>
      </c>
      <c r="C173" s="2" t="str">
        <f>HYPERLINK("https://my.zakupivli.pro/remote/dispatcher/state_contracting_view/17095011", "UA-2023-07-25-005356-a-c1")</f>
        <v>UA-2023-07-25-005356-a-c1</v>
      </c>
      <c r="D173" s="1" t="s">
        <v>461</v>
      </c>
      <c r="E173" s="1" t="s">
        <v>1223</v>
      </c>
      <c r="F173" s="1" t="s">
        <v>1224</v>
      </c>
      <c r="G173" s="1" t="s">
        <v>119</v>
      </c>
      <c r="H173" s="1" t="s">
        <v>894</v>
      </c>
      <c r="I173" s="1" t="s">
        <v>1335</v>
      </c>
      <c r="J173" s="1" t="s">
        <v>168</v>
      </c>
      <c r="K173" s="1" t="s">
        <v>628</v>
      </c>
      <c r="L173" s="5">
        <v>600</v>
      </c>
      <c r="M173" s="1" t="s">
        <v>1293</v>
      </c>
      <c r="N173" s="6">
        <v>45131</v>
      </c>
      <c r="O173" s="6">
        <v>45291</v>
      </c>
      <c r="P173" s="1" t="s">
        <v>1357</v>
      </c>
    </row>
    <row r="174" spans="1:16" hidden="1" x14ac:dyDescent="0.25">
      <c r="A174" s="4">
        <v>170</v>
      </c>
      <c r="B174" s="2" t="str">
        <f>HYPERLINK("https://my.zakupivli.pro/remote/dispatcher/state_purchase_view/45632093", "UA-2023-10-04-007315-a")</f>
        <v>UA-2023-10-04-007315-a</v>
      </c>
      <c r="C174" s="2" t="str">
        <f>HYPERLINK("https://my.zakupivli.pro/remote/dispatcher/state_contracting_view/17740833", "UA-2023-10-04-007315-a-a1")</f>
        <v>UA-2023-10-04-007315-a-a1</v>
      </c>
      <c r="D174" s="1" t="s">
        <v>483</v>
      </c>
      <c r="E174" s="1" t="s">
        <v>983</v>
      </c>
      <c r="F174" s="1" t="s">
        <v>982</v>
      </c>
      <c r="G174" s="1" t="s">
        <v>596</v>
      </c>
      <c r="H174" s="1" t="s">
        <v>894</v>
      </c>
      <c r="I174" s="1" t="s">
        <v>816</v>
      </c>
      <c r="J174" s="1" t="s">
        <v>50</v>
      </c>
      <c r="K174" s="1" t="s">
        <v>70</v>
      </c>
      <c r="L174" s="5">
        <v>1557.55</v>
      </c>
      <c r="M174" s="1" t="s">
        <v>1293</v>
      </c>
      <c r="N174" s="6">
        <v>45202</v>
      </c>
      <c r="O174" s="6">
        <v>45291</v>
      </c>
      <c r="P174" s="1" t="s">
        <v>1357</v>
      </c>
    </row>
    <row r="175" spans="1:16" hidden="1" x14ac:dyDescent="0.25">
      <c r="A175" s="4">
        <v>171</v>
      </c>
      <c r="B175" s="2" t="str">
        <f>HYPERLINK("https://my.zakupivli.pro/remote/dispatcher/state_purchase_view/40090066", "UA-2023-01-17-000212-a")</f>
        <v>UA-2023-01-17-000212-a</v>
      </c>
      <c r="C175" s="2" t="str">
        <f>HYPERLINK("https://my.zakupivli.pro/remote/dispatcher/state_contracting_view/15273493", "UA-2023-01-17-000212-a-c1")</f>
        <v>UA-2023-01-17-000212-a-c1</v>
      </c>
      <c r="D175" s="1" t="s">
        <v>495</v>
      </c>
      <c r="E175" s="1" t="s">
        <v>1138</v>
      </c>
      <c r="F175" s="1" t="s">
        <v>1138</v>
      </c>
      <c r="G175" s="1" t="s">
        <v>521</v>
      </c>
      <c r="H175" s="1" t="s">
        <v>894</v>
      </c>
      <c r="I175" s="1" t="s">
        <v>920</v>
      </c>
      <c r="J175" s="1" t="s">
        <v>37</v>
      </c>
      <c r="K175" s="1" t="s">
        <v>627</v>
      </c>
      <c r="L175" s="5">
        <v>5283.66</v>
      </c>
      <c r="M175" s="1" t="s">
        <v>1293</v>
      </c>
      <c r="N175" s="6">
        <v>44942</v>
      </c>
      <c r="O175" s="6">
        <v>45291</v>
      </c>
      <c r="P175" s="1" t="s">
        <v>1357</v>
      </c>
    </row>
    <row r="176" spans="1:16" hidden="1" x14ac:dyDescent="0.25">
      <c r="A176" s="4">
        <v>172</v>
      </c>
      <c r="B176" s="2" t="str">
        <f>HYPERLINK("https://my.zakupivli.pro/remote/dispatcher/state_purchase_view/40013836", "UA-2023-01-12-002026-a")</f>
        <v>UA-2023-01-12-002026-a</v>
      </c>
      <c r="C176" s="2" t="str">
        <f>HYPERLINK("https://my.zakupivli.pro/remote/dispatcher/state_contracting_view/15240633", "UA-2023-01-12-002026-a-a1")</f>
        <v>UA-2023-01-12-002026-a-a1</v>
      </c>
      <c r="D176" s="1" t="s">
        <v>717</v>
      </c>
      <c r="E176" s="1" t="s">
        <v>888</v>
      </c>
      <c r="F176" s="1" t="s">
        <v>887</v>
      </c>
      <c r="G176" s="1" t="s">
        <v>53</v>
      </c>
      <c r="H176" s="1" t="s">
        <v>894</v>
      </c>
      <c r="I176" s="1" t="s">
        <v>1276</v>
      </c>
      <c r="J176" s="1" t="s">
        <v>384</v>
      </c>
      <c r="K176" s="1" t="s">
        <v>160</v>
      </c>
      <c r="L176" s="5">
        <v>80351.28</v>
      </c>
      <c r="M176" s="1" t="s">
        <v>1293</v>
      </c>
      <c r="N176" s="6">
        <v>44936</v>
      </c>
      <c r="O176" s="6">
        <v>45291</v>
      </c>
      <c r="P176" s="1" t="s">
        <v>1357</v>
      </c>
    </row>
    <row r="177" spans="1:16" hidden="1" x14ac:dyDescent="0.25">
      <c r="A177" s="4">
        <v>173</v>
      </c>
      <c r="B177" s="2" t="str">
        <f>HYPERLINK("https://my.zakupivli.pro/remote/dispatcher/state_purchase_view/45942336", "UA-2023-10-17-009227-a")</f>
        <v>UA-2023-10-17-009227-a</v>
      </c>
      <c r="C177" s="2" t="str">
        <f>HYPERLINK("https://my.zakupivli.pro/remote/dispatcher/state_contracting_view/17873991", "UA-2023-10-17-009227-a-b1")</f>
        <v>UA-2023-10-17-009227-a-b1</v>
      </c>
      <c r="D177" s="1" t="s">
        <v>607</v>
      </c>
      <c r="E177" s="1" t="s">
        <v>934</v>
      </c>
      <c r="F177" s="1" t="s">
        <v>934</v>
      </c>
      <c r="G177" s="1" t="s">
        <v>264</v>
      </c>
      <c r="H177" s="1" t="s">
        <v>894</v>
      </c>
      <c r="I177" s="1" t="s">
        <v>1335</v>
      </c>
      <c r="J177" s="1" t="s">
        <v>168</v>
      </c>
      <c r="K177" s="1" t="s">
        <v>146</v>
      </c>
      <c r="L177" s="5">
        <v>8425.01</v>
      </c>
      <c r="M177" s="1" t="s">
        <v>1293</v>
      </c>
      <c r="N177" s="6">
        <v>45216</v>
      </c>
      <c r="O177" s="6">
        <v>45291</v>
      </c>
      <c r="P177" s="1" t="s">
        <v>1357</v>
      </c>
    </row>
    <row r="178" spans="1:16" hidden="1" x14ac:dyDescent="0.25">
      <c r="A178" s="4">
        <v>174</v>
      </c>
      <c r="B178" s="2" t="str">
        <f>HYPERLINK("https://my.zakupivli.pro/remote/dispatcher/state_purchase_view/46004235", "UA-2023-10-19-004407-a")</f>
        <v>UA-2023-10-19-004407-a</v>
      </c>
      <c r="C178" s="2" t="str">
        <f>HYPERLINK("https://my.zakupivli.pro/remote/dispatcher/state_contracting_view/17898674", "UA-2023-10-19-004407-a-b1")</f>
        <v>UA-2023-10-19-004407-a-b1</v>
      </c>
      <c r="D178" s="1" t="s">
        <v>443</v>
      </c>
      <c r="E178" s="1" t="s">
        <v>1321</v>
      </c>
      <c r="F178" s="1" t="s">
        <v>1320</v>
      </c>
      <c r="G178" s="1" t="s">
        <v>343</v>
      </c>
      <c r="H178" s="1" t="s">
        <v>894</v>
      </c>
      <c r="I178" s="1" t="s">
        <v>959</v>
      </c>
      <c r="J178" s="1" t="s">
        <v>181</v>
      </c>
      <c r="K178" s="1" t="s">
        <v>173</v>
      </c>
      <c r="L178" s="5">
        <v>13000</v>
      </c>
      <c r="M178" s="1" t="s">
        <v>993</v>
      </c>
      <c r="N178" s="6">
        <v>45217</v>
      </c>
      <c r="O178" s="6">
        <v>45291</v>
      </c>
      <c r="P178" s="1" t="s">
        <v>1357</v>
      </c>
    </row>
    <row r="179" spans="1:16" hidden="1" x14ac:dyDescent="0.25">
      <c r="A179" s="4">
        <v>175</v>
      </c>
      <c r="B179" s="2" t="str">
        <f>HYPERLINK("https://my.zakupivli.pro/remote/dispatcher/state_purchase_view/47306995", "UA-2023-12-06-005549-a")</f>
        <v>UA-2023-12-06-005549-a</v>
      </c>
      <c r="C179" s="2" t="str">
        <f>HYPERLINK("https://my.zakupivli.pro/remote/dispatcher/state_contracting_view/18450258", "UA-2023-12-06-005549-a-a1")</f>
        <v>UA-2023-12-06-005549-a-a1</v>
      </c>
      <c r="D179" s="1" t="s">
        <v>435</v>
      </c>
      <c r="E179" s="1" t="s">
        <v>934</v>
      </c>
      <c r="F179" s="1" t="s">
        <v>934</v>
      </c>
      <c r="G179" s="1" t="s">
        <v>264</v>
      </c>
      <c r="H179" s="1" t="s">
        <v>894</v>
      </c>
      <c r="I179" s="1" t="s">
        <v>1289</v>
      </c>
      <c r="J179" s="1" t="s">
        <v>168</v>
      </c>
      <c r="K179" s="1" t="s">
        <v>187</v>
      </c>
      <c r="L179" s="5">
        <v>1380</v>
      </c>
      <c r="M179" s="1" t="s">
        <v>993</v>
      </c>
      <c r="N179" s="6">
        <v>45266</v>
      </c>
      <c r="O179" s="6">
        <v>45291</v>
      </c>
      <c r="P179" s="1" t="s">
        <v>1357</v>
      </c>
    </row>
    <row r="180" spans="1:16" hidden="1" x14ac:dyDescent="0.25">
      <c r="A180" s="4">
        <v>176</v>
      </c>
      <c r="B180" s="2" t="str">
        <f>HYPERLINK("https://my.zakupivli.pro/remote/dispatcher/state_purchase_view/43490594", "UA-2023-06-22-010810-a")</f>
        <v>UA-2023-06-22-010810-a</v>
      </c>
      <c r="C180" s="2" t="str">
        <f>HYPERLINK("https://my.zakupivli.pro/remote/dispatcher/state_contracting_view/16817915", "UA-2023-06-22-010810-a-b1")</f>
        <v>UA-2023-06-22-010810-a-b1</v>
      </c>
      <c r="D180" s="1" t="s">
        <v>447</v>
      </c>
      <c r="E180" s="1" t="s">
        <v>1191</v>
      </c>
      <c r="F180" s="1" t="s">
        <v>1191</v>
      </c>
      <c r="G180" s="1" t="s">
        <v>420</v>
      </c>
      <c r="H180" s="1" t="s">
        <v>894</v>
      </c>
      <c r="I180" s="1" t="s">
        <v>1259</v>
      </c>
      <c r="J180" s="1" t="s">
        <v>353</v>
      </c>
      <c r="K180" s="1" t="s">
        <v>175</v>
      </c>
      <c r="L180" s="5">
        <v>189929.91</v>
      </c>
      <c r="M180" s="1" t="s">
        <v>1293</v>
      </c>
      <c r="N180" s="6">
        <v>45099</v>
      </c>
      <c r="O180" s="6">
        <v>45291</v>
      </c>
      <c r="P180" s="1" t="s">
        <v>1357</v>
      </c>
    </row>
    <row r="181" spans="1:16" hidden="1" x14ac:dyDescent="0.25">
      <c r="A181" s="4">
        <v>177</v>
      </c>
      <c r="B181" s="2" t="str">
        <f>HYPERLINK("https://my.zakupivli.pro/remote/dispatcher/state_purchase_view/44979439", "UA-2023-09-06-006974-a")</f>
        <v>UA-2023-09-06-006974-a</v>
      </c>
      <c r="C181" s="2" t="str">
        <f>HYPERLINK("https://my.zakupivli.pro/remote/dispatcher/state_contracting_view/17464186", "UA-2023-09-06-006974-a-a1")</f>
        <v>UA-2023-09-06-006974-a-a1</v>
      </c>
      <c r="D181" s="1" t="s">
        <v>379</v>
      </c>
      <c r="E181" s="1" t="s">
        <v>1082</v>
      </c>
      <c r="F181" s="1" t="s">
        <v>1082</v>
      </c>
      <c r="G181" s="1" t="s">
        <v>552</v>
      </c>
      <c r="H181" s="1" t="s">
        <v>894</v>
      </c>
      <c r="I181" s="1" t="s">
        <v>1283</v>
      </c>
      <c r="J181" s="1" t="s">
        <v>322</v>
      </c>
      <c r="K181" s="1" t="s">
        <v>311</v>
      </c>
      <c r="L181" s="5">
        <v>1170</v>
      </c>
      <c r="M181" s="1" t="s">
        <v>1293</v>
      </c>
      <c r="N181" s="6">
        <v>45174</v>
      </c>
      <c r="O181" s="6">
        <v>45291</v>
      </c>
      <c r="P181" s="1" t="s">
        <v>1357</v>
      </c>
    </row>
    <row r="182" spans="1:16" hidden="1" x14ac:dyDescent="0.25">
      <c r="A182" s="4">
        <v>178</v>
      </c>
      <c r="B182" s="2" t="str">
        <f>HYPERLINK("https://my.zakupivli.pro/remote/dispatcher/state_purchase_view/43217428", "UA-2023-06-12-008568-a")</f>
        <v>UA-2023-06-12-008568-a</v>
      </c>
      <c r="C182" s="2" t="str">
        <f>HYPERLINK("https://my.zakupivli.pro/remote/dispatcher/state_contracting_view/16686038", "UA-2023-06-12-008568-a-a1")</f>
        <v>UA-2023-06-12-008568-a-a1</v>
      </c>
      <c r="D182" s="1" t="s">
        <v>761</v>
      </c>
      <c r="E182" s="1" t="s">
        <v>840</v>
      </c>
      <c r="F182" s="1" t="s">
        <v>840</v>
      </c>
      <c r="G182" s="1" t="s">
        <v>190</v>
      </c>
      <c r="H182" s="1" t="s">
        <v>894</v>
      </c>
      <c r="I182" s="1" t="s">
        <v>1280</v>
      </c>
      <c r="J182" s="1" t="s">
        <v>270</v>
      </c>
      <c r="K182" s="1" t="s">
        <v>513</v>
      </c>
      <c r="L182" s="5">
        <v>741.72</v>
      </c>
      <c r="M182" s="1" t="s">
        <v>1293</v>
      </c>
      <c r="N182" s="6">
        <v>45089</v>
      </c>
      <c r="O182" s="6">
        <v>45291</v>
      </c>
      <c r="P182" s="1" t="s">
        <v>1357</v>
      </c>
    </row>
    <row r="183" spans="1:16" hidden="1" x14ac:dyDescent="0.25">
      <c r="A183" s="4">
        <v>179</v>
      </c>
      <c r="B183" s="2" t="str">
        <f>HYPERLINK("https://my.zakupivli.pro/remote/dispatcher/state_purchase_view/43219714", "UA-2023-06-12-009638-a")</f>
        <v>UA-2023-06-12-009638-a</v>
      </c>
      <c r="C183" s="2" t="str">
        <f>HYPERLINK("https://my.zakupivli.pro/remote/dispatcher/state_contracting_view/16687289", "UA-2023-06-12-009638-a-c1")</f>
        <v>UA-2023-06-12-009638-a-c1</v>
      </c>
      <c r="D183" s="1" t="s">
        <v>795</v>
      </c>
      <c r="E183" s="1" t="s">
        <v>915</v>
      </c>
      <c r="F183" s="1" t="s">
        <v>1054</v>
      </c>
      <c r="G183" s="1" t="s">
        <v>405</v>
      </c>
      <c r="H183" s="1" t="s">
        <v>894</v>
      </c>
      <c r="I183" s="1" t="s">
        <v>1280</v>
      </c>
      <c r="J183" s="1" t="s">
        <v>270</v>
      </c>
      <c r="K183" s="1" t="s">
        <v>513</v>
      </c>
      <c r="L183" s="5">
        <v>661.75</v>
      </c>
      <c r="M183" s="1" t="s">
        <v>1293</v>
      </c>
      <c r="N183" s="6">
        <v>45089</v>
      </c>
      <c r="O183" s="6">
        <v>45291</v>
      </c>
      <c r="P183" s="1" t="s">
        <v>1357</v>
      </c>
    </row>
    <row r="184" spans="1:16" hidden="1" x14ac:dyDescent="0.25">
      <c r="A184" s="4">
        <v>180</v>
      </c>
      <c r="B184" s="2" t="str">
        <f>HYPERLINK("https://my.zakupivli.pro/remote/dispatcher/state_purchase_view/43218353", "UA-2023-06-12-009043-a")</f>
        <v>UA-2023-06-12-009043-a</v>
      </c>
      <c r="C184" s="2" t="str">
        <f>HYPERLINK("https://my.zakupivli.pro/remote/dispatcher/state_contracting_view/16686618", "UA-2023-06-12-009043-a-a1")</f>
        <v>UA-2023-06-12-009043-a-a1</v>
      </c>
      <c r="D184" s="1" t="s">
        <v>514</v>
      </c>
      <c r="E184" s="1" t="s">
        <v>966</v>
      </c>
      <c r="F184" s="1" t="s">
        <v>1254</v>
      </c>
      <c r="G184" s="1" t="s">
        <v>409</v>
      </c>
      <c r="H184" s="1" t="s">
        <v>894</v>
      </c>
      <c r="I184" s="1" t="s">
        <v>1280</v>
      </c>
      <c r="J184" s="1" t="s">
        <v>270</v>
      </c>
      <c r="K184" s="1" t="s">
        <v>513</v>
      </c>
      <c r="L184" s="5">
        <v>1803.12</v>
      </c>
      <c r="M184" s="1" t="s">
        <v>1293</v>
      </c>
      <c r="N184" s="6">
        <v>45089</v>
      </c>
      <c r="O184" s="6">
        <v>45291</v>
      </c>
      <c r="P184" s="1" t="s">
        <v>1357</v>
      </c>
    </row>
    <row r="185" spans="1:16" hidden="1" x14ac:dyDescent="0.25">
      <c r="A185" s="4">
        <v>181</v>
      </c>
      <c r="B185" s="2" t="str">
        <f>HYPERLINK("https://my.zakupivli.pro/remote/dispatcher/state_purchase_view/46757171", "UA-2023-11-17-006361-a")</f>
        <v>UA-2023-11-17-006361-a</v>
      </c>
      <c r="C185" s="2" t="str">
        <f>HYPERLINK("https://my.zakupivli.pro/remote/dispatcher/state_contracting_view/18220732", "UA-2023-11-17-006361-a-a1")</f>
        <v>UA-2023-11-17-006361-a-a1</v>
      </c>
      <c r="D185" s="1" t="s">
        <v>178</v>
      </c>
      <c r="E185" s="1" t="s">
        <v>877</v>
      </c>
      <c r="F185" s="1" t="s">
        <v>877</v>
      </c>
      <c r="G185" s="1" t="s">
        <v>525</v>
      </c>
      <c r="H185" s="1" t="s">
        <v>894</v>
      </c>
      <c r="I185" s="1" t="s">
        <v>1023</v>
      </c>
      <c r="J185" s="1" t="s">
        <v>149</v>
      </c>
      <c r="K185" s="1" t="s">
        <v>13</v>
      </c>
      <c r="L185" s="5">
        <v>1486.58</v>
      </c>
      <c r="M185" s="1" t="s">
        <v>993</v>
      </c>
      <c r="N185" s="6">
        <v>45247</v>
      </c>
      <c r="O185" s="6">
        <v>45291</v>
      </c>
      <c r="P185" s="1" t="s">
        <v>1357</v>
      </c>
    </row>
    <row r="186" spans="1:16" hidden="1" x14ac:dyDescent="0.25">
      <c r="A186" s="4">
        <v>182</v>
      </c>
      <c r="B186" s="2" t="str">
        <f>HYPERLINK("https://my.zakupivli.pro/remote/dispatcher/state_purchase_view/41569877", "UA-2023-03-22-006938-a")</f>
        <v>UA-2023-03-22-006938-a</v>
      </c>
      <c r="C186" s="2" t="str">
        <f>HYPERLINK("https://my.zakupivli.pro/remote/dispatcher/state_contracting_view/15949224", "UA-2023-03-22-006938-a-b1")</f>
        <v>UA-2023-03-22-006938-a-b1</v>
      </c>
      <c r="D186" s="1" t="s">
        <v>787</v>
      </c>
      <c r="E186" s="1" t="s">
        <v>907</v>
      </c>
      <c r="F186" s="1" t="s">
        <v>907</v>
      </c>
      <c r="G186" s="1" t="s">
        <v>356</v>
      </c>
      <c r="H186" s="1" t="s">
        <v>894</v>
      </c>
      <c r="I186" s="1" t="s">
        <v>1291</v>
      </c>
      <c r="J186" s="1" t="s">
        <v>273</v>
      </c>
      <c r="K186" s="1" t="s">
        <v>256</v>
      </c>
      <c r="L186" s="5">
        <v>9823.5</v>
      </c>
      <c r="M186" s="1" t="s">
        <v>993</v>
      </c>
      <c r="N186" s="6">
        <v>45005</v>
      </c>
      <c r="O186" s="6">
        <v>45291</v>
      </c>
      <c r="P186" s="1" t="s">
        <v>1357</v>
      </c>
    </row>
    <row r="187" spans="1:16" hidden="1" x14ac:dyDescent="0.25">
      <c r="A187" s="4">
        <v>183</v>
      </c>
      <c r="B187" s="2" t="str">
        <f>HYPERLINK("https://my.zakupivli.pro/remote/dispatcher/state_purchase_view/40095638", "UA-2023-01-17-002758-a")</f>
        <v>UA-2023-01-17-002758-a</v>
      </c>
      <c r="C187" s="2" t="str">
        <f>HYPERLINK("https://my.zakupivli.pro/remote/dispatcher/state_contracting_view/15276010", "UA-2023-01-17-002758-a-b1")</f>
        <v>UA-2023-01-17-002758-a-b1</v>
      </c>
      <c r="D187" s="1" t="s">
        <v>80</v>
      </c>
      <c r="E187" s="1" t="s">
        <v>1347</v>
      </c>
      <c r="F187" s="1" t="s">
        <v>1347</v>
      </c>
      <c r="G187" s="1" t="s">
        <v>469</v>
      </c>
      <c r="H187" s="1" t="s">
        <v>894</v>
      </c>
      <c r="I187" s="1" t="s">
        <v>1018</v>
      </c>
      <c r="J187" s="1" t="s">
        <v>330</v>
      </c>
      <c r="K187" s="1" t="s">
        <v>430</v>
      </c>
      <c r="L187" s="5">
        <v>7200</v>
      </c>
      <c r="M187" s="1" t="s">
        <v>993</v>
      </c>
      <c r="N187" s="6">
        <v>44936</v>
      </c>
      <c r="O187" s="6">
        <v>45291</v>
      </c>
      <c r="P187" s="1" t="s">
        <v>1357</v>
      </c>
    </row>
    <row r="188" spans="1:16" hidden="1" x14ac:dyDescent="0.25">
      <c r="A188" s="4">
        <v>184</v>
      </c>
      <c r="B188" s="2" t="str">
        <f>HYPERLINK("https://my.zakupivli.pro/remote/dispatcher/state_purchase_view/40094137", "UA-2023-01-17-002026-a")</f>
        <v>UA-2023-01-17-002026-a</v>
      </c>
      <c r="C188" s="2" t="str">
        <f>HYPERLINK("https://my.zakupivli.pro/remote/dispatcher/state_contracting_view/15275179", "UA-2023-01-17-002026-a-b1")</f>
        <v>UA-2023-01-17-002026-a-b1</v>
      </c>
      <c r="D188" s="1" t="s">
        <v>516</v>
      </c>
      <c r="E188" s="1" t="s">
        <v>1144</v>
      </c>
      <c r="F188" s="1" t="s">
        <v>1144</v>
      </c>
      <c r="G188" s="1" t="s">
        <v>577</v>
      </c>
      <c r="H188" s="1" t="s">
        <v>894</v>
      </c>
      <c r="I188" s="1" t="s">
        <v>1284</v>
      </c>
      <c r="J188" s="1" t="s">
        <v>387</v>
      </c>
      <c r="K188" s="1" t="s">
        <v>1062</v>
      </c>
      <c r="L188" s="5">
        <v>7200</v>
      </c>
      <c r="M188" s="1" t="s">
        <v>993</v>
      </c>
      <c r="N188" s="6">
        <v>44942</v>
      </c>
      <c r="O188" s="6">
        <v>45291</v>
      </c>
      <c r="P188" s="1" t="s">
        <v>1357</v>
      </c>
    </row>
    <row r="189" spans="1:16" hidden="1" x14ac:dyDescent="0.25">
      <c r="A189" s="4">
        <v>185</v>
      </c>
      <c r="B189" s="2" t="str">
        <f>HYPERLINK("https://my.zakupivli.pro/remote/dispatcher/state_purchase_view/43373247", "UA-2023-06-19-002996-a")</f>
        <v>UA-2023-06-19-002996-a</v>
      </c>
      <c r="C189" s="2" t="str">
        <f>HYPERLINK("https://my.zakupivli.pro/remote/dispatcher/state_contracting_view/16759682", "UA-2023-06-19-002996-a-a1")</f>
        <v>UA-2023-06-19-002996-a-a1</v>
      </c>
      <c r="D189" s="1" t="s">
        <v>777</v>
      </c>
      <c r="E189" s="1" t="s">
        <v>1180</v>
      </c>
      <c r="F189" s="1" t="s">
        <v>1180</v>
      </c>
      <c r="G189" s="1" t="s">
        <v>421</v>
      </c>
      <c r="H189" s="1" t="s">
        <v>894</v>
      </c>
      <c r="I189" s="1" t="s">
        <v>1259</v>
      </c>
      <c r="J189" s="1" t="s">
        <v>353</v>
      </c>
      <c r="K189" s="1" t="s">
        <v>174</v>
      </c>
      <c r="L189" s="5">
        <v>195426.18</v>
      </c>
      <c r="M189" s="1" t="s">
        <v>1293</v>
      </c>
      <c r="N189" s="6">
        <v>45096</v>
      </c>
      <c r="O189" s="6">
        <v>45291</v>
      </c>
      <c r="P189" s="1" t="s">
        <v>1357</v>
      </c>
    </row>
    <row r="190" spans="1:16" hidden="1" x14ac:dyDescent="0.25">
      <c r="A190" s="4">
        <v>186</v>
      </c>
      <c r="B190" s="2" t="str">
        <f>HYPERLINK("https://my.zakupivli.pro/remote/dispatcher/state_purchase_view/44122369", "UA-2023-07-25-005881-a")</f>
        <v>UA-2023-07-25-005881-a</v>
      </c>
      <c r="C190" s="2" t="str">
        <f>HYPERLINK("https://my.zakupivli.pro/remote/dispatcher/state_contracting_view/17095469", "UA-2023-07-25-005881-a-a1")</f>
        <v>UA-2023-07-25-005881-a-a1</v>
      </c>
      <c r="D190" s="1" t="s">
        <v>538</v>
      </c>
      <c r="E190" s="1" t="s">
        <v>1036</v>
      </c>
      <c r="F190" s="1" t="s">
        <v>1035</v>
      </c>
      <c r="G190" s="1" t="s">
        <v>132</v>
      </c>
      <c r="H190" s="1" t="s">
        <v>894</v>
      </c>
      <c r="I190" s="1" t="s">
        <v>1335</v>
      </c>
      <c r="J190" s="1" t="s">
        <v>168</v>
      </c>
      <c r="K190" s="1" t="s">
        <v>628</v>
      </c>
      <c r="L190" s="5">
        <v>2345</v>
      </c>
      <c r="M190" s="1" t="s">
        <v>1293</v>
      </c>
      <c r="N190" s="6">
        <v>45131</v>
      </c>
      <c r="O190" s="6">
        <v>45291</v>
      </c>
      <c r="P190" s="1" t="s">
        <v>1357</v>
      </c>
    </row>
    <row r="191" spans="1:16" hidden="1" x14ac:dyDescent="0.25">
      <c r="A191" s="4">
        <v>187</v>
      </c>
      <c r="B191" s="2" t="str">
        <f>HYPERLINK("https://my.zakupivli.pro/remote/dispatcher/state_purchase_view/44125463", "UA-2023-07-25-007281-a")</f>
        <v>UA-2023-07-25-007281-a</v>
      </c>
      <c r="C191" s="2" t="str">
        <f>HYPERLINK("https://my.zakupivli.pro/remote/dispatcher/state_contracting_view/17096592", "UA-2023-07-25-007281-a-c1")</f>
        <v>UA-2023-07-25-007281-a-c1</v>
      </c>
      <c r="D191" s="1" t="s">
        <v>712</v>
      </c>
      <c r="E191" s="1" t="s">
        <v>809</v>
      </c>
      <c r="F191" s="1" t="s">
        <v>808</v>
      </c>
      <c r="G191" s="1" t="s">
        <v>169</v>
      </c>
      <c r="H191" s="1" t="s">
        <v>894</v>
      </c>
      <c r="I191" s="1" t="s">
        <v>1331</v>
      </c>
      <c r="J191" s="1" t="s">
        <v>280</v>
      </c>
      <c r="K191" s="1" t="s">
        <v>590</v>
      </c>
      <c r="L191" s="5">
        <v>4865.5</v>
      </c>
      <c r="M191" s="1" t="s">
        <v>1293</v>
      </c>
      <c r="N191" s="6">
        <v>45131</v>
      </c>
      <c r="O191" s="6">
        <v>45291</v>
      </c>
      <c r="P191" s="1" t="s">
        <v>1357</v>
      </c>
    </row>
    <row r="192" spans="1:16" hidden="1" x14ac:dyDescent="0.25">
      <c r="A192" s="4">
        <v>188</v>
      </c>
      <c r="B192" s="2" t="str">
        <f>HYPERLINK("https://my.zakupivli.pro/remote/dispatcher/state_purchase_view/45574275", "UA-2023-10-02-008365-a")</f>
        <v>UA-2023-10-02-008365-a</v>
      </c>
      <c r="C192" s="2" t="str">
        <f>HYPERLINK("https://my.zakupivli.pro/remote/dispatcher/state_contracting_view/17716914", "UA-2023-10-02-008365-a-c1")</f>
        <v>UA-2023-10-02-008365-a-c1</v>
      </c>
      <c r="D192" s="1" t="s">
        <v>711</v>
      </c>
      <c r="E192" s="1" t="s">
        <v>1101</v>
      </c>
      <c r="F192" s="1" t="s">
        <v>1101</v>
      </c>
      <c r="G192" s="1" t="s">
        <v>417</v>
      </c>
      <c r="H192" s="1" t="s">
        <v>894</v>
      </c>
      <c r="I192" s="1" t="s">
        <v>1022</v>
      </c>
      <c r="J192" s="1" t="s">
        <v>376</v>
      </c>
      <c r="K192" s="1" t="s">
        <v>179</v>
      </c>
      <c r="L192" s="5">
        <v>98395.02</v>
      </c>
      <c r="M192" s="1" t="s">
        <v>1293</v>
      </c>
      <c r="N192" s="6">
        <v>45198</v>
      </c>
      <c r="O192" s="6">
        <v>45291</v>
      </c>
      <c r="P192" s="1" t="s">
        <v>1357</v>
      </c>
    </row>
    <row r="193" spans="1:16" hidden="1" x14ac:dyDescent="0.25">
      <c r="A193" s="4">
        <v>189</v>
      </c>
      <c r="B193" s="2" t="str">
        <f>HYPERLINK("https://my.zakupivli.pro/remote/dispatcher/state_purchase_view/45580839", "UA-2023-10-02-011242-a")</f>
        <v>UA-2023-10-02-011242-a</v>
      </c>
      <c r="C193" s="2" t="str">
        <f>HYPERLINK("https://my.zakupivli.pro/remote/dispatcher/state_contracting_view/17719433", "UA-2023-10-02-011242-a-b1")</f>
        <v>UA-2023-10-02-011242-a-b1</v>
      </c>
      <c r="D193" s="1" t="s">
        <v>612</v>
      </c>
      <c r="E193" s="1" t="s">
        <v>1100</v>
      </c>
      <c r="F193" s="1" t="s">
        <v>1100</v>
      </c>
      <c r="G193" s="1" t="s">
        <v>414</v>
      </c>
      <c r="H193" s="1" t="s">
        <v>894</v>
      </c>
      <c r="I193" s="1" t="s">
        <v>1022</v>
      </c>
      <c r="J193" s="1" t="s">
        <v>376</v>
      </c>
      <c r="K193" s="1" t="s">
        <v>182</v>
      </c>
      <c r="L193" s="5">
        <v>160694.66</v>
      </c>
      <c r="M193" s="1" t="s">
        <v>1293</v>
      </c>
      <c r="N193" s="6">
        <v>45198</v>
      </c>
      <c r="O193" s="6">
        <v>45291</v>
      </c>
      <c r="P193" s="1" t="s">
        <v>1357</v>
      </c>
    </row>
    <row r="194" spans="1:16" hidden="1" x14ac:dyDescent="0.25">
      <c r="A194" s="4">
        <v>190</v>
      </c>
      <c r="B194" s="2" t="str">
        <f>HYPERLINK("https://my.zakupivli.pro/remote/dispatcher/state_purchase_view/45940363", "UA-2023-10-17-008357-a")</f>
        <v>UA-2023-10-17-008357-a</v>
      </c>
      <c r="C194" s="2" t="str">
        <f>HYPERLINK("https://my.zakupivli.pro/remote/dispatcher/state_contracting_view/17871422", "UA-2023-10-17-008357-a-b1")</f>
        <v>UA-2023-10-17-008357-a-b1</v>
      </c>
      <c r="D194" s="1" t="s">
        <v>708</v>
      </c>
      <c r="E194" s="1" t="s">
        <v>939</v>
      </c>
      <c r="F194" s="1" t="s">
        <v>939</v>
      </c>
      <c r="G194" s="1" t="s">
        <v>406</v>
      </c>
      <c r="H194" s="1" t="s">
        <v>894</v>
      </c>
      <c r="I194" s="1" t="s">
        <v>1335</v>
      </c>
      <c r="J194" s="1" t="s">
        <v>168</v>
      </c>
      <c r="K194" s="1" t="s">
        <v>125</v>
      </c>
      <c r="L194" s="5">
        <v>3960</v>
      </c>
      <c r="M194" s="1" t="s">
        <v>1293</v>
      </c>
      <c r="N194" s="6">
        <v>45216</v>
      </c>
      <c r="O194" s="6">
        <v>45291</v>
      </c>
      <c r="P194" s="1" t="s">
        <v>1357</v>
      </c>
    </row>
    <row r="195" spans="1:16" hidden="1" x14ac:dyDescent="0.25">
      <c r="A195" s="4">
        <v>191</v>
      </c>
      <c r="B195" s="2" t="str">
        <f>HYPERLINK("https://my.zakupivli.pro/remote/dispatcher/state_purchase_view/46339589", "UA-2023-11-02-004063-a")</f>
        <v>UA-2023-11-02-004063-a</v>
      </c>
      <c r="C195" s="2" t="str">
        <f>HYPERLINK("https://my.zakupivli.pro/remote/dispatcher/state_contracting_view/18043527", "UA-2023-11-02-004063-a-b1")</f>
        <v>UA-2023-11-02-004063-a-b1</v>
      </c>
      <c r="D195" s="1" t="s">
        <v>129</v>
      </c>
      <c r="E195" s="1" t="s">
        <v>1189</v>
      </c>
      <c r="F195" s="1" t="s">
        <v>1188</v>
      </c>
      <c r="G195" s="1" t="s">
        <v>413</v>
      </c>
      <c r="H195" s="1" t="s">
        <v>894</v>
      </c>
      <c r="I195" s="1" t="s">
        <v>1022</v>
      </c>
      <c r="J195" s="1" t="s">
        <v>376</v>
      </c>
      <c r="K195" s="1" t="s">
        <v>338</v>
      </c>
      <c r="L195" s="5">
        <v>102502.11</v>
      </c>
      <c r="M195" s="1" t="s">
        <v>993</v>
      </c>
      <c r="N195" s="6">
        <v>45232</v>
      </c>
      <c r="O195" s="6">
        <v>45291</v>
      </c>
      <c r="P195" s="1" t="s">
        <v>1357</v>
      </c>
    </row>
    <row r="196" spans="1:16" hidden="1" x14ac:dyDescent="0.25">
      <c r="A196" s="4">
        <v>192</v>
      </c>
      <c r="B196" s="2" t="str">
        <f>HYPERLINK("https://my.zakupivli.pro/remote/dispatcher/state_purchase_view/40016403", "UA-2023-01-12-003195-a")</f>
        <v>UA-2023-01-12-003195-a</v>
      </c>
      <c r="C196" s="2" t="str">
        <f>HYPERLINK("https://my.zakupivli.pro/remote/dispatcher/state_contracting_view/15241882", "UA-2023-01-12-003195-a-a1")</f>
        <v>UA-2023-01-12-003195-a-a1</v>
      </c>
      <c r="D196" s="1" t="s">
        <v>622</v>
      </c>
      <c r="E196" s="1" t="s">
        <v>849</v>
      </c>
      <c r="F196" s="1" t="s">
        <v>849</v>
      </c>
      <c r="G196" s="1" t="s">
        <v>551</v>
      </c>
      <c r="H196" s="1" t="s">
        <v>894</v>
      </c>
      <c r="I196" s="1" t="s">
        <v>830</v>
      </c>
      <c r="J196" s="1" t="s">
        <v>232</v>
      </c>
      <c r="K196" s="1" t="s">
        <v>87</v>
      </c>
      <c r="L196" s="5">
        <v>28800</v>
      </c>
      <c r="M196" s="1" t="s">
        <v>993</v>
      </c>
      <c r="N196" s="6">
        <v>44936</v>
      </c>
      <c r="O196" s="6">
        <v>45291</v>
      </c>
      <c r="P196" s="1" t="s">
        <v>1357</v>
      </c>
    </row>
    <row r="197" spans="1:16" hidden="1" x14ac:dyDescent="0.25">
      <c r="A197" s="4">
        <v>193</v>
      </c>
      <c r="B197" s="2" t="str">
        <f>HYPERLINK("https://my.zakupivli.pro/remote/dispatcher/state_purchase_view/43669767", "UA-2023-07-03-000242-a")</f>
        <v>UA-2023-07-03-000242-a</v>
      </c>
      <c r="C197" s="2" t="str">
        <f>HYPERLINK("https://my.zakupivli.pro/remote/dispatcher/state_contracting_view/16899722", "UA-2023-07-03-000242-a-c1")</f>
        <v>UA-2023-07-03-000242-a-c1</v>
      </c>
      <c r="D197" s="1" t="s">
        <v>694</v>
      </c>
      <c r="E197" s="1" t="s">
        <v>880</v>
      </c>
      <c r="F197" s="1" t="s">
        <v>986</v>
      </c>
      <c r="G197" s="1" t="s">
        <v>553</v>
      </c>
      <c r="H197" s="1" t="s">
        <v>894</v>
      </c>
      <c r="I197" s="1" t="s">
        <v>1021</v>
      </c>
      <c r="J197" s="1" t="s">
        <v>279</v>
      </c>
      <c r="K197" s="1" t="s">
        <v>299</v>
      </c>
      <c r="L197" s="5">
        <v>4320</v>
      </c>
      <c r="M197" s="1" t="s">
        <v>993</v>
      </c>
      <c r="N197" s="6">
        <v>45110</v>
      </c>
      <c r="O197" s="6">
        <v>45291</v>
      </c>
      <c r="P197" s="1" t="s">
        <v>1357</v>
      </c>
    </row>
    <row r="198" spans="1:16" hidden="1" x14ac:dyDescent="0.25">
      <c r="A198" s="4">
        <v>194</v>
      </c>
      <c r="B198" s="2" t="str">
        <f>HYPERLINK("https://my.zakupivli.pro/remote/dispatcher/state_purchase_view/43379887", "UA-2023-06-19-006819-a")</f>
        <v>UA-2023-06-19-006819-a</v>
      </c>
      <c r="C198" s="2" t="str">
        <f>HYPERLINK("https://my.zakupivli.pro/remote/dispatcher/state_contracting_view/16763549", "UA-2023-06-19-006819-a-b1")</f>
        <v>UA-2023-06-19-006819-a-b1</v>
      </c>
      <c r="D198" s="1" t="s">
        <v>784</v>
      </c>
      <c r="E198" s="1" t="s">
        <v>884</v>
      </c>
      <c r="F198" s="1" t="s">
        <v>884</v>
      </c>
      <c r="G198" s="1" t="s">
        <v>469</v>
      </c>
      <c r="H198" s="1" t="s">
        <v>894</v>
      </c>
      <c r="I198" s="1" t="s">
        <v>1277</v>
      </c>
      <c r="J198" s="1" t="s">
        <v>389</v>
      </c>
      <c r="K198" s="1" t="s">
        <v>458</v>
      </c>
      <c r="L198" s="5">
        <v>2033.75</v>
      </c>
      <c r="M198" s="1" t="s">
        <v>1293</v>
      </c>
      <c r="N198" s="6">
        <v>45096</v>
      </c>
      <c r="O198" s="6">
        <v>45291</v>
      </c>
      <c r="P198" s="1" t="s">
        <v>1357</v>
      </c>
    </row>
    <row r="199" spans="1:16" hidden="1" x14ac:dyDescent="0.25">
      <c r="A199" s="4">
        <v>195</v>
      </c>
      <c r="B199" s="2" t="str">
        <f>HYPERLINK("https://my.zakupivli.pro/remote/dispatcher/state_purchase_view/44067588", "UA-2023-07-21-005882-a")</f>
        <v>UA-2023-07-21-005882-a</v>
      </c>
      <c r="C199" s="2" t="str">
        <f>HYPERLINK("https://my.zakupivli.pro/remote/dispatcher/state_contracting_view/17071511", "UA-2023-07-21-005882-a-a1")</f>
        <v>UA-2023-07-21-005882-a-a1</v>
      </c>
      <c r="D199" s="1" t="s">
        <v>71</v>
      </c>
      <c r="E199" s="1" t="s">
        <v>936</v>
      </c>
      <c r="F199" s="1" t="s">
        <v>936</v>
      </c>
      <c r="G199" s="1" t="s">
        <v>264</v>
      </c>
      <c r="H199" s="1" t="s">
        <v>894</v>
      </c>
      <c r="I199" s="1" t="s">
        <v>1335</v>
      </c>
      <c r="J199" s="1" t="s">
        <v>168</v>
      </c>
      <c r="K199" s="1" t="s">
        <v>541</v>
      </c>
      <c r="L199" s="5">
        <v>4228</v>
      </c>
      <c r="M199" s="1" t="s">
        <v>1293</v>
      </c>
      <c r="N199" s="6">
        <v>45126</v>
      </c>
      <c r="O199" s="6">
        <v>45291</v>
      </c>
      <c r="P199" s="1" t="s">
        <v>1357</v>
      </c>
    </row>
    <row r="200" spans="1:16" hidden="1" x14ac:dyDescent="0.25">
      <c r="A200" s="4">
        <v>196</v>
      </c>
      <c r="B200" s="2" t="str">
        <f>HYPERLINK("https://my.zakupivli.pro/remote/dispatcher/state_purchase_view/43506012", "UA-2023-06-23-000272-a")</f>
        <v>UA-2023-06-23-000272-a</v>
      </c>
      <c r="C200" s="2" t="str">
        <f>HYPERLINK("https://my.zakupivli.pro/remote/dispatcher/state_contracting_view/16826136", "UA-2023-06-23-000272-a-b1")</f>
        <v>UA-2023-06-23-000272-a-b1</v>
      </c>
      <c r="D200" s="1" t="s">
        <v>669</v>
      </c>
      <c r="E200" s="1" t="s">
        <v>1099</v>
      </c>
      <c r="F200" s="1" t="s">
        <v>1098</v>
      </c>
      <c r="G200" s="1" t="s">
        <v>415</v>
      </c>
      <c r="H200" s="1" t="s">
        <v>894</v>
      </c>
      <c r="I200" s="1" t="s">
        <v>1259</v>
      </c>
      <c r="J200" s="1" t="s">
        <v>353</v>
      </c>
      <c r="K200" s="1" t="s">
        <v>177</v>
      </c>
      <c r="L200" s="5">
        <v>52688.82</v>
      </c>
      <c r="M200" s="1" t="s">
        <v>1293</v>
      </c>
      <c r="N200" s="6">
        <v>45100</v>
      </c>
      <c r="O200" s="6">
        <v>45291</v>
      </c>
      <c r="P200" s="1" t="s">
        <v>1357</v>
      </c>
    </row>
    <row r="201" spans="1:16" hidden="1" x14ac:dyDescent="0.25">
      <c r="A201" s="4">
        <v>197</v>
      </c>
      <c r="B201" s="2" t="str">
        <f>HYPERLINK("https://my.zakupivli.pro/remote/dispatcher/state_purchase_view/41568995", "UA-2023-03-22-006597-a")</f>
        <v>UA-2023-03-22-006597-a</v>
      </c>
      <c r="C201" s="2" t="str">
        <f>HYPERLINK("https://my.zakupivli.pro/remote/dispatcher/state_contracting_view/15948937", "UA-2023-03-22-006597-a-b1")</f>
        <v>UA-2023-03-22-006597-a-b1</v>
      </c>
      <c r="D201" s="1" t="s">
        <v>614</v>
      </c>
      <c r="E201" s="1" t="s">
        <v>1319</v>
      </c>
      <c r="F201" s="1" t="s">
        <v>1319</v>
      </c>
      <c r="G201" s="1" t="s">
        <v>304</v>
      </c>
      <c r="H201" s="1" t="s">
        <v>894</v>
      </c>
      <c r="I201" s="1" t="s">
        <v>1291</v>
      </c>
      <c r="J201" s="1" t="s">
        <v>273</v>
      </c>
      <c r="K201" s="1" t="s">
        <v>256</v>
      </c>
      <c r="L201" s="5">
        <v>9823.5</v>
      </c>
      <c r="M201" s="1" t="s">
        <v>993</v>
      </c>
      <c r="N201" s="6">
        <v>45005</v>
      </c>
      <c r="O201" s="6">
        <v>45291</v>
      </c>
      <c r="P201" s="1" t="s">
        <v>1357</v>
      </c>
    </row>
    <row r="202" spans="1:16" hidden="1" x14ac:dyDescent="0.25">
      <c r="A202" s="4">
        <v>198</v>
      </c>
      <c r="B202" s="2" t="str">
        <f>HYPERLINK("https://my.zakupivli.pro/remote/dispatcher/state_purchase_view/46755908", "UA-2023-11-17-005778-a")</f>
        <v>UA-2023-11-17-005778-a</v>
      </c>
      <c r="C202" s="2" t="str">
        <f>HYPERLINK("https://my.zakupivli.pro/remote/dispatcher/state_contracting_view/18220426", "UA-2023-11-17-005778-a-b1")</f>
        <v>UA-2023-11-17-005778-a-b1</v>
      </c>
      <c r="D202" s="1" t="s">
        <v>582</v>
      </c>
      <c r="E202" s="1" t="s">
        <v>1182</v>
      </c>
      <c r="F202" s="1" t="s">
        <v>1182</v>
      </c>
      <c r="G202" s="1" t="s">
        <v>468</v>
      </c>
      <c r="H202" s="1" t="s">
        <v>894</v>
      </c>
      <c r="I202" s="1" t="s">
        <v>1287</v>
      </c>
      <c r="J202" s="1" t="s">
        <v>411</v>
      </c>
      <c r="K202" s="1" t="s">
        <v>436</v>
      </c>
      <c r="L202" s="5">
        <v>34320</v>
      </c>
      <c r="M202" s="1" t="s">
        <v>993</v>
      </c>
      <c r="N202" s="6">
        <v>45247</v>
      </c>
      <c r="O202" s="6">
        <v>45291</v>
      </c>
      <c r="P202" s="1" t="s">
        <v>1357</v>
      </c>
    </row>
    <row r="203" spans="1:16" hidden="1" x14ac:dyDescent="0.25">
      <c r="A203" s="4">
        <v>199</v>
      </c>
      <c r="B203" s="2" t="str">
        <f>HYPERLINK("https://my.zakupivli.pro/remote/dispatcher/state_purchase_view/46341471", "UA-2023-11-02-004921-a")</f>
        <v>UA-2023-11-02-004921-a</v>
      </c>
      <c r="C203" s="2" t="str">
        <f>HYPERLINK("https://my.zakupivli.pro/remote/dispatcher/state_contracting_view/18044111", "UA-2023-11-02-004921-a-c1")</f>
        <v>UA-2023-11-02-004921-a-c1</v>
      </c>
      <c r="D203" s="1" t="s">
        <v>48</v>
      </c>
      <c r="E203" s="1" t="s">
        <v>841</v>
      </c>
      <c r="F203" s="1" t="s">
        <v>841</v>
      </c>
      <c r="G203" s="1" t="s">
        <v>51</v>
      </c>
      <c r="H203" s="1" t="s">
        <v>894</v>
      </c>
      <c r="I203" s="1" t="s">
        <v>1264</v>
      </c>
      <c r="J203" s="1" t="s">
        <v>398</v>
      </c>
      <c r="K203" s="1" t="s">
        <v>286</v>
      </c>
      <c r="L203" s="5">
        <v>3359.4</v>
      </c>
      <c r="M203" s="1" t="s">
        <v>1293</v>
      </c>
      <c r="N203" s="6">
        <v>45231</v>
      </c>
      <c r="O203" s="6">
        <v>45291</v>
      </c>
      <c r="P203" s="1" t="s">
        <v>1357</v>
      </c>
    </row>
    <row r="204" spans="1:16" hidden="1" x14ac:dyDescent="0.25">
      <c r="A204" s="4">
        <v>200</v>
      </c>
      <c r="B204" s="2" t="str">
        <f>HYPERLINK("https://my.zakupivli.pro/remote/dispatcher/state_purchase_view/41345810", "UA-2023-03-10-007822-a")</f>
        <v>UA-2023-03-10-007822-a</v>
      </c>
      <c r="C204" s="2" t="str">
        <f>HYPERLINK("https://my.zakupivli.pro/remote/dispatcher/state_contracting_view/15854235", "UA-2023-03-10-007822-a-a1")</f>
        <v>UA-2023-03-10-007822-a-a1</v>
      </c>
      <c r="D204" s="1" t="s">
        <v>247</v>
      </c>
      <c r="E204" s="1" t="s">
        <v>1302</v>
      </c>
      <c r="F204" s="1" t="s">
        <v>1302</v>
      </c>
      <c r="G204" s="1" t="s">
        <v>465</v>
      </c>
      <c r="H204" s="1" t="s">
        <v>894</v>
      </c>
      <c r="I204" s="1" t="s">
        <v>1260</v>
      </c>
      <c r="J204" s="1" t="s">
        <v>411</v>
      </c>
      <c r="K204" s="1" t="s">
        <v>142</v>
      </c>
      <c r="L204" s="5">
        <v>9300</v>
      </c>
      <c r="M204" s="1" t="s">
        <v>993</v>
      </c>
      <c r="N204" s="6">
        <v>44995</v>
      </c>
      <c r="O204" s="6">
        <v>45289</v>
      </c>
      <c r="P204" s="1" t="s">
        <v>1357</v>
      </c>
    </row>
    <row r="205" spans="1:16" hidden="1" x14ac:dyDescent="0.25">
      <c r="A205" s="4">
        <v>201</v>
      </c>
      <c r="B205" s="2" t="str">
        <f>HYPERLINK("https://my.zakupivli.pro/remote/dispatcher/state_purchase_view/45690191", "UA-2023-10-06-003624-a")</f>
        <v>UA-2023-10-06-003624-a</v>
      </c>
      <c r="C205" s="2" t="str">
        <f>HYPERLINK("https://my.zakupivli.pro/remote/dispatcher/state_contracting_view/17765662", "UA-2023-10-06-003624-a-b1")</f>
        <v>UA-2023-10-06-003624-a-b1</v>
      </c>
      <c r="D205" s="1" t="s">
        <v>183</v>
      </c>
      <c r="E205" s="1" t="s">
        <v>1311</v>
      </c>
      <c r="F205" s="1" t="s">
        <v>1311</v>
      </c>
      <c r="G205" s="1" t="s">
        <v>549</v>
      </c>
      <c r="H205" s="1" t="s">
        <v>894</v>
      </c>
      <c r="I205" s="1" t="s">
        <v>1230</v>
      </c>
      <c r="J205" s="1" t="s">
        <v>224</v>
      </c>
      <c r="K205" s="1" t="s">
        <v>100</v>
      </c>
      <c r="L205" s="5">
        <v>960</v>
      </c>
      <c r="M205" s="1" t="s">
        <v>1293</v>
      </c>
      <c r="N205" s="6">
        <v>45204</v>
      </c>
      <c r="O205" s="6">
        <v>45289</v>
      </c>
      <c r="P205" s="1" t="s">
        <v>1357</v>
      </c>
    </row>
    <row r="206" spans="1:16" hidden="1" x14ac:dyDescent="0.25">
      <c r="A206" s="4">
        <v>202</v>
      </c>
      <c r="B206" s="2" t="str">
        <f>HYPERLINK("https://my.zakupivli.pro/remote/dispatcher/state_purchase_view/46006032", "UA-2023-10-19-005201-a")</f>
        <v>UA-2023-10-19-005201-a</v>
      </c>
      <c r="C206" s="2" t="str">
        <f>HYPERLINK("https://my.zakupivli.pro/remote/dispatcher/state_contracting_view/17899283", "UA-2023-10-19-005201-a-b1")</f>
        <v>UA-2023-10-19-005201-a-b1</v>
      </c>
      <c r="D206" s="1" t="s">
        <v>731</v>
      </c>
      <c r="E206" s="1" t="s">
        <v>1179</v>
      </c>
      <c r="F206" s="1" t="s">
        <v>1178</v>
      </c>
      <c r="G206" s="1" t="s">
        <v>465</v>
      </c>
      <c r="H206" s="1" t="s">
        <v>894</v>
      </c>
      <c r="I206" s="1" t="s">
        <v>1287</v>
      </c>
      <c r="J206" s="1" t="s">
        <v>411</v>
      </c>
      <c r="K206" s="1" t="s">
        <v>332</v>
      </c>
      <c r="L206" s="5">
        <v>3900</v>
      </c>
      <c r="M206" s="1" t="s">
        <v>1293</v>
      </c>
      <c r="N206" s="6">
        <v>45217</v>
      </c>
      <c r="O206" s="6">
        <v>45289</v>
      </c>
      <c r="P206" s="1" t="s">
        <v>1357</v>
      </c>
    </row>
    <row r="207" spans="1:16" hidden="1" x14ac:dyDescent="0.25">
      <c r="A207" s="4">
        <v>203</v>
      </c>
      <c r="B207" s="2" t="str">
        <f>HYPERLINK("https://my.zakupivli.pro/remote/dispatcher/state_purchase_view/45690744", "UA-2023-10-06-003847-a")</f>
        <v>UA-2023-10-06-003847-a</v>
      </c>
      <c r="C207" s="2" t="str">
        <f>HYPERLINK("https://my.zakupivli.pro/remote/dispatcher/state_contracting_view/17765794", "UA-2023-10-06-003847-a-b1")</f>
        <v>UA-2023-10-06-003847-a-b1</v>
      </c>
      <c r="D207" s="1" t="s">
        <v>442</v>
      </c>
      <c r="E207" s="1" t="s">
        <v>1309</v>
      </c>
      <c r="F207" s="1" t="s">
        <v>1309</v>
      </c>
      <c r="G207" s="1" t="s">
        <v>549</v>
      </c>
      <c r="H207" s="1" t="s">
        <v>894</v>
      </c>
      <c r="I207" s="1" t="s">
        <v>1230</v>
      </c>
      <c r="J207" s="1" t="s">
        <v>224</v>
      </c>
      <c r="K207" s="1" t="s">
        <v>105</v>
      </c>
      <c r="L207" s="5">
        <v>2836</v>
      </c>
      <c r="M207" s="1" t="s">
        <v>1293</v>
      </c>
      <c r="N207" s="6">
        <v>45204</v>
      </c>
      <c r="O207" s="6">
        <v>45289</v>
      </c>
      <c r="P207" s="1" t="s">
        <v>1357</v>
      </c>
    </row>
    <row r="208" spans="1:16" hidden="1" x14ac:dyDescent="0.25">
      <c r="A208" s="4">
        <v>204</v>
      </c>
      <c r="B208" s="2" t="str">
        <f>HYPERLINK("https://my.zakupivli.pro/remote/dispatcher/state_purchase_view/45689545", "UA-2023-10-06-003302-a")</f>
        <v>UA-2023-10-06-003302-a</v>
      </c>
      <c r="C208" s="2" t="str">
        <f>HYPERLINK("https://my.zakupivli.pro/remote/dispatcher/state_contracting_view/17765305", "UA-2023-10-06-003302-a-a1")</f>
        <v>UA-2023-10-06-003302-a-a1</v>
      </c>
      <c r="D208" s="1" t="s">
        <v>610</v>
      </c>
      <c r="E208" s="1" t="s">
        <v>1307</v>
      </c>
      <c r="F208" s="1" t="s">
        <v>1308</v>
      </c>
      <c r="G208" s="1" t="s">
        <v>549</v>
      </c>
      <c r="H208" s="1" t="s">
        <v>894</v>
      </c>
      <c r="I208" s="1" t="s">
        <v>1230</v>
      </c>
      <c r="J208" s="1" t="s">
        <v>224</v>
      </c>
      <c r="K208" s="1" t="s">
        <v>92</v>
      </c>
      <c r="L208" s="5">
        <v>1419</v>
      </c>
      <c r="M208" s="1" t="s">
        <v>1293</v>
      </c>
      <c r="N208" s="6">
        <v>45204</v>
      </c>
      <c r="O208" s="6">
        <v>45289</v>
      </c>
      <c r="P208" s="1" t="s">
        <v>1357</v>
      </c>
    </row>
    <row r="209" spans="1:16" hidden="1" x14ac:dyDescent="0.25">
      <c r="A209" s="4">
        <v>205</v>
      </c>
      <c r="B209" s="2" t="str">
        <f>HYPERLINK("https://my.zakupivli.pro/remote/dispatcher/state_purchase_view/45691193", "UA-2023-10-06-004000-a")</f>
        <v>UA-2023-10-06-004000-a</v>
      </c>
      <c r="C209" s="2" t="str">
        <f>HYPERLINK("https://my.zakupivli.pro/remote/dispatcher/state_contracting_view/17766255", "UA-2023-10-06-004000-a-a1")</f>
        <v>UA-2023-10-06-004000-a-a1</v>
      </c>
      <c r="D209" s="1" t="s">
        <v>640</v>
      </c>
      <c r="E209" s="1" t="s">
        <v>1310</v>
      </c>
      <c r="F209" s="1" t="s">
        <v>1310</v>
      </c>
      <c r="G209" s="1" t="s">
        <v>549</v>
      </c>
      <c r="H209" s="1" t="s">
        <v>894</v>
      </c>
      <c r="I209" s="1" t="s">
        <v>1230</v>
      </c>
      <c r="J209" s="1" t="s">
        <v>224</v>
      </c>
      <c r="K209" s="1" t="s">
        <v>108</v>
      </c>
      <c r="L209" s="5">
        <v>2750</v>
      </c>
      <c r="M209" s="1" t="s">
        <v>1293</v>
      </c>
      <c r="N209" s="6">
        <v>45204</v>
      </c>
      <c r="O209" s="6">
        <v>45289</v>
      </c>
      <c r="P209" s="1" t="s">
        <v>1357</v>
      </c>
    </row>
    <row r="210" spans="1:16" hidden="1" x14ac:dyDescent="0.25">
      <c r="A210" s="4">
        <v>206</v>
      </c>
      <c r="B210" s="2" t="str">
        <f>HYPERLINK("https://my.zakupivli.pro/remote/dispatcher/state_purchase_view/38612661", "UA-2022-11-16-011929-a")</f>
        <v>UA-2022-11-16-011929-a</v>
      </c>
      <c r="C210" s="2" t="str">
        <f>HYPERLINK("https://my.zakupivli.pro/remote/dispatcher/state_contracting_view/14582537", "UA-2022-11-16-011929-a-c1")</f>
        <v>UA-2022-11-16-011929-a-c1</v>
      </c>
      <c r="D210" s="1" t="s">
        <v>365</v>
      </c>
      <c r="E210" s="1" t="s">
        <v>1160</v>
      </c>
      <c r="F210" s="1" t="s">
        <v>1247</v>
      </c>
      <c r="G210" s="1" t="s">
        <v>525</v>
      </c>
      <c r="H210" s="1" t="s">
        <v>894</v>
      </c>
      <c r="I210" s="1" t="s">
        <v>1023</v>
      </c>
      <c r="J210" s="1" t="s">
        <v>149</v>
      </c>
      <c r="K210" s="1" t="s">
        <v>12</v>
      </c>
      <c r="L210" s="5">
        <v>1486.58</v>
      </c>
      <c r="M210" s="1" t="s">
        <v>993</v>
      </c>
      <c r="N210" s="6">
        <v>44879</v>
      </c>
      <c r="O210" s="6">
        <v>45266</v>
      </c>
      <c r="P210" s="1" t="s">
        <v>1357</v>
      </c>
    </row>
    <row r="211" spans="1:16" hidden="1" x14ac:dyDescent="0.25">
      <c r="A211" s="4">
        <v>207</v>
      </c>
      <c r="B211" s="2" t="str">
        <f>HYPERLINK("https://my.zakupivli.pro/remote/dispatcher/state_purchase_view/34349238", "UA-2022-01-24-005016-b")</f>
        <v>UA-2022-01-24-005016-b</v>
      </c>
      <c r="C211" s="2" t="str">
        <f>HYPERLINK("https://my.zakupivli.pro/remote/dispatcher/state_contracting_view/12503758", "UA-2022-01-24-005016-b-b1")</f>
        <v>UA-2022-01-24-005016-b-b1</v>
      </c>
      <c r="D211" s="1" t="s">
        <v>40</v>
      </c>
      <c r="E211" s="1" t="s">
        <v>1245</v>
      </c>
      <c r="F211" s="1" t="s">
        <v>1246</v>
      </c>
      <c r="G211" s="1" t="s">
        <v>525</v>
      </c>
      <c r="H211" s="1" t="s">
        <v>894</v>
      </c>
      <c r="I211" s="1" t="s">
        <v>1023</v>
      </c>
      <c r="J211" s="1" t="s">
        <v>149</v>
      </c>
      <c r="K211" s="1" t="s">
        <v>19</v>
      </c>
      <c r="L211" s="5">
        <v>3181.69</v>
      </c>
      <c r="M211" s="1" t="s">
        <v>993</v>
      </c>
      <c r="N211" s="6">
        <v>44582</v>
      </c>
      <c r="O211" s="6">
        <v>44946</v>
      </c>
      <c r="P211" s="1" t="s">
        <v>1357</v>
      </c>
    </row>
    <row r="212" spans="1:16" hidden="1" x14ac:dyDescent="0.25">
      <c r="A212" s="4">
        <v>208</v>
      </c>
      <c r="B212" s="2" t="str">
        <f>HYPERLINK("https://my.zakupivli.pro/remote/dispatcher/state_purchase_view/38458987", "UA-2022-11-09-012764-a")</f>
        <v>UA-2022-11-09-012764-a</v>
      </c>
      <c r="C212" s="2" t="str">
        <f>HYPERLINK("https://my.zakupivli.pro/remote/dispatcher/state_contracting_view/14511270", "UA-2022-11-09-012764-a-a1")</f>
        <v>UA-2022-11-09-012764-a-a1</v>
      </c>
      <c r="D212" s="1" t="s">
        <v>689</v>
      </c>
      <c r="E212" s="1" t="s">
        <v>936</v>
      </c>
      <c r="F212" s="1" t="s">
        <v>936</v>
      </c>
      <c r="G212" s="1" t="s">
        <v>263</v>
      </c>
      <c r="H212" s="1" t="s">
        <v>894</v>
      </c>
      <c r="I212" s="1" t="s">
        <v>1344</v>
      </c>
      <c r="J212" s="1" t="s">
        <v>293</v>
      </c>
      <c r="K212" s="1" t="s">
        <v>589</v>
      </c>
      <c r="L212" s="5">
        <v>481.96</v>
      </c>
      <c r="M212" s="1" t="s">
        <v>993</v>
      </c>
      <c r="N212" s="6">
        <v>44873</v>
      </c>
      <c r="O212" s="6">
        <v>44926</v>
      </c>
      <c r="P212" s="1" t="s">
        <v>1357</v>
      </c>
    </row>
    <row r="213" spans="1:16" hidden="1" x14ac:dyDescent="0.25">
      <c r="A213" s="4">
        <v>209</v>
      </c>
      <c r="B213" s="2" t="str">
        <f>HYPERLINK("https://my.zakupivli.pro/remote/dispatcher/state_purchase_view/37244188", "UA-2022-08-26-007867-a")</f>
        <v>UA-2022-08-26-007867-a</v>
      </c>
      <c r="C213" s="2" t="str">
        <f>HYPERLINK("https://my.zakupivli.pro/remote/dispatcher/state_contracting_view/13916988", "UA-2022-08-26-007867-a-b1")</f>
        <v>UA-2022-08-26-007867-a-b1</v>
      </c>
      <c r="D213" s="1" t="s">
        <v>584</v>
      </c>
      <c r="E213" s="1" t="s">
        <v>1131</v>
      </c>
      <c r="F213" s="1" t="s">
        <v>1055</v>
      </c>
      <c r="G213" s="1" t="s">
        <v>550</v>
      </c>
      <c r="H213" s="1" t="s">
        <v>894</v>
      </c>
      <c r="I213" s="1" t="s">
        <v>804</v>
      </c>
      <c r="J213" s="1" t="s">
        <v>180</v>
      </c>
      <c r="K213" s="1" t="s">
        <v>147</v>
      </c>
      <c r="L213" s="5">
        <v>3727.5</v>
      </c>
      <c r="M213" s="1" t="s">
        <v>993</v>
      </c>
      <c r="N213" s="6">
        <v>44795</v>
      </c>
      <c r="O213" s="6">
        <v>44926</v>
      </c>
      <c r="P213" s="1" t="s">
        <v>1357</v>
      </c>
    </row>
    <row r="214" spans="1:16" hidden="1" x14ac:dyDescent="0.25">
      <c r="A214" s="4">
        <v>210</v>
      </c>
      <c r="B214" s="2" t="str">
        <f>HYPERLINK("https://my.zakupivli.pro/remote/dispatcher/state_purchase_view/34345913", "UA-2022-01-24-003814-b")</f>
        <v>UA-2022-01-24-003814-b</v>
      </c>
      <c r="C214" s="2" t="str">
        <f>HYPERLINK("https://my.zakupivli.pro/remote/dispatcher/state_contracting_view/12502278", "UA-2022-01-24-003814-b-b1")</f>
        <v>UA-2022-01-24-003814-b-b1</v>
      </c>
      <c r="D214" s="1" t="s">
        <v>648</v>
      </c>
      <c r="E214" s="1" t="s">
        <v>1162</v>
      </c>
      <c r="F214" s="1" t="s">
        <v>1162</v>
      </c>
      <c r="G214" s="1" t="s">
        <v>520</v>
      </c>
      <c r="H214" s="1" t="s">
        <v>894</v>
      </c>
      <c r="I214" s="1" t="s">
        <v>820</v>
      </c>
      <c r="J214" s="1" t="s">
        <v>154</v>
      </c>
      <c r="K214" s="1" t="s">
        <v>94</v>
      </c>
      <c r="L214" s="5">
        <v>1300</v>
      </c>
      <c r="M214" s="1" t="s">
        <v>1293</v>
      </c>
      <c r="N214" s="6">
        <v>44582</v>
      </c>
      <c r="O214" s="6">
        <v>44926</v>
      </c>
      <c r="P214" s="1" t="s">
        <v>1357</v>
      </c>
    </row>
    <row r="215" spans="1:16" hidden="1" x14ac:dyDescent="0.25">
      <c r="A215" s="4">
        <v>211</v>
      </c>
      <c r="B215" s="2" t="str">
        <f>HYPERLINK("https://my.zakupivli.pro/remote/dispatcher/state_purchase_view/34307359", "UA-2022-01-21-010569-b")</f>
        <v>UA-2022-01-21-010569-b</v>
      </c>
      <c r="C215" s="2" t="str">
        <f>HYPERLINK("https://my.zakupivli.pro/remote/dispatcher/state_contracting_view/12486308", "UA-2022-01-21-010569-b-b1")</f>
        <v>UA-2022-01-21-010569-b-b1</v>
      </c>
      <c r="D215" s="1" t="s">
        <v>687</v>
      </c>
      <c r="E215" s="1" t="s">
        <v>1077</v>
      </c>
      <c r="F215" s="1" t="s">
        <v>1077</v>
      </c>
      <c r="G215" s="1" t="s">
        <v>631</v>
      </c>
      <c r="H215" s="1" t="s">
        <v>894</v>
      </c>
      <c r="I215" s="1" t="s">
        <v>920</v>
      </c>
      <c r="J215" s="1" t="s">
        <v>37</v>
      </c>
      <c r="K215" s="1" t="s">
        <v>646</v>
      </c>
      <c r="L215" s="5">
        <v>5923.28</v>
      </c>
      <c r="M215" s="1" t="s">
        <v>1293</v>
      </c>
      <c r="N215" s="6">
        <v>44582</v>
      </c>
      <c r="O215" s="6">
        <v>44926</v>
      </c>
      <c r="P215" s="1" t="s">
        <v>1357</v>
      </c>
    </row>
    <row r="216" spans="1:16" hidden="1" x14ac:dyDescent="0.25">
      <c r="A216" s="4">
        <v>212</v>
      </c>
      <c r="B216" s="2" t="str">
        <f>HYPERLINK("https://my.zakupivli.pro/remote/dispatcher/state_purchase_view/36456113", "UA-2022-06-22-006376-a")</f>
        <v>UA-2022-06-22-006376-a</v>
      </c>
      <c r="C216" s="2" t="str">
        <f>HYPERLINK("https://my.zakupivli.pro/remote/dispatcher/state_contracting_view/13540467", "UA-2022-06-22-006376-a-b1")</f>
        <v>UA-2022-06-22-006376-a-b1</v>
      </c>
      <c r="D216" s="1" t="s">
        <v>363</v>
      </c>
      <c r="E216" s="1" t="s">
        <v>1302</v>
      </c>
      <c r="F216" s="1" t="s">
        <v>1302</v>
      </c>
      <c r="G216" s="1" t="s">
        <v>465</v>
      </c>
      <c r="H216" s="1" t="s">
        <v>894</v>
      </c>
      <c r="I216" s="1" t="s">
        <v>1287</v>
      </c>
      <c r="J216" s="1" t="s">
        <v>411</v>
      </c>
      <c r="K216" s="1" t="s">
        <v>588</v>
      </c>
      <c r="L216" s="5">
        <v>3750</v>
      </c>
      <c r="M216" s="1" t="s">
        <v>993</v>
      </c>
      <c r="N216" s="6">
        <v>44733</v>
      </c>
      <c r="O216" s="6">
        <v>44926</v>
      </c>
      <c r="P216" s="1" t="s">
        <v>1357</v>
      </c>
    </row>
    <row r="217" spans="1:16" hidden="1" x14ac:dyDescent="0.25">
      <c r="A217" s="4">
        <v>213</v>
      </c>
      <c r="B217" s="2" t="str">
        <f>HYPERLINK("https://my.zakupivli.pro/remote/dispatcher/state_purchase_view/37244782", "UA-2022-08-26-008154-a")</f>
        <v>UA-2022-08-26-008154-a</v>
      </c>
      <c r="C217" s="2" t="str">
        <f>HYPERLINK("https://my.zakupivli.pro/remote/dispatcher/state_contracting_view/13917254", "UA-2022-08-26-008154-a-b1")</f>
        <v>UA-2022-08-26-008154-a-b1</v>
      </c>
      <c r="D217" s="1" t="s">
        <v>685</v>
      </c>
      <c r="E217" s="1" t="s">
        <v>1081</v>
      </c>
      <c r="F217" s="1" t="s">
        <v>1082</v>
      </c>
      <c r="G217" s="1" t="s">
        <v>552</v>
      </c>
      <c r="H217" s="1" t="s">
        <v>894</v>
      </c>
      <c r="I217" s="1" t="s">
        <v>1283</v>
      </c>
      <c r="J217" s="1" t="s">
        <v>322</v>
      </c>
      <c r="K217" s="1" t="s">
        <v>307</v>
      </c>
      <c r="L217" s="5">
        <v>332</v>
      </c>
      <c r="M217" s="1" t="s">
        <v>1293</v>
      </c>
      <c r="N217" s="6">
        <v>44795</v>
      </c>
      <c r="O217" s="6">
        <v>44926</v>
      </c>
      <c r="P217" s="1" t="s">
        <v>1357</v>
      </c>
    </row>
    <row r="218" spans="1:16" hidden="1" x14ac:dyDescent="0.25">
      <c r="A218" s="4">
        <v>214</v>
      </c>
      <c r="B218" s="2" t="str">
        <f>HYPERLINK("https://my.zakupivli.pro/remote/dispatcher/state_purchase_view/38632258", "UA-2022-11-17-007877-a")</f>
        <v>UA-2022-11-17-007877-a</v>
      </c>
      <c r="C218" s="2" t="str">
        <f>HYPERLINK("https://my.zakupivli.pro/remote/dispatcher/state_contracting_view/14591802", "UA-2022-11-17-007877-a-b1")</f>
        <v>UA-2022-11-17-007877-a-b1</v>
      </c>
      <c r="D218" s="1" t="s">
        <v>798</v>
      </c>
      <c r="E218" s="1" t="s">
        <v>934</v>
      </c>
      <c r="F218" s="1" t="s">
        <v>936</v>
      </c>
      <c r="G218" s="1" t="s">
        <v>263</v>
      </c>
      <c r="H218" s="1" t="s">
        <v>894</v>
      </c>
      <c r="I218" s="1" t="s">
        <v>1344</v>
      </c>
      <c r="J218" s="1" t="s">
        <v>293</v>
      </c>
      <c r="K218" s="1" t="s">
        <v>509</v>
      </c>
      <c r="L218" s="5">
        <v>2920</v>
      </c>
      <c r="M218" s="1" t="s">
        <v>993</v>
      </c>
      <c r="N218" s="6">
        <v>44879</v>
      </c>
      <c r="O218" s="6">
        <v>44926</v>
      </c>
      <c r="P218" s="1" t="s">
        <v>1357</v>
      </c>
    </row>
    <row r="219" spans="1:16" hidden="1" x14ac:dyDescent="0.25">
      <c r="A219" s="4">
        <v>215</v>
      </c>
      <c r="B219" s="2" t="str">
        <f>HYPERLINK("https://my.zakupivli.pro/remote/dispatcher/state_purchase_view/38620640", "UA-2022-11-17-002155-a")</f>
        <v>UA-2022-11-17-002155-a</v>
      </c>
      <c r="C219" s="2" t="str">
        <f>HYPERLINK("https://my.zakupivli.pro/remote/dispatcher/state_contracting_view/14586412", "UA-2022-11-17-002155-a-b1")</f>
        <v>UA-2022-11-17-002155-a-b1</v>
      </c>
      <c r="D219" s="1" t="s">
        <v>728</v>
      </c>
      <c r="E219" s="1" t="s">
        <v>873</v>
      </c>
      <c r="F219" s="1" t="s">
        <v>873</v>
      </c>
      <c r="G219" s="1" t="s">
        <v>276</v>
      </c>
      <c r="H219" s="1" t="s">
        <v>894</v>
      </c>
      <c r="I219" s="1" t="s">
        <v>1269</v>
      </c>
      <c r="J219" s="1" t="s">
        <v>388</v>
      </c>
      <c r="K219" s="1" t="s">
        <v>369</v>
      </c>
      <c r="L219" s="5">
        <v>41200</v>
      </c>
      <c r="M219" s="1" t="s">
        <v>993</v>
      </c>
      <c r="N219" s="6">
        <v>44879</v>
      </c>
      <c r="O219" s="6">
        <v>44926</v>
      </c>
      <c r="P219" s="1" t="s">
        <v>1357</v>
      </c>
    </row>
    <row r="220" spans="1:16" hidden="1" x14ac:dyDescent="0.25">
      <c r="A220" s="4">
        <v>216</v>
      </c>
      <c r="B220" s="2" t="str">
        <f>HYPERLINK("https://my.zakupivli.pro/remote/dispatcher/state_purchase_view/37147456", "UA-2022-08-19-003773-a")</f>
        <v>UA-2022-08-19-003773-a</v>
      </c>
      <c r="C220" s="2" t="str">
        <f>HYPERLINK("https://my.zakupivli.pro/remote/dispatcher/state_contracting_view/13872721", "UA-2022-08-19-003773-a-b1")</f>
        <v>UA-2022-08-19-003773-a-b1</v>
      </c>
      <c r="D220" s="1" t="s">
        <v>49</v>
      </c>
      <c r="E220" s="1" t="s">
        <v>1086</v>
      </c>
      <c r="F220" s="1" t="s">
        <v>1086</v>
      </c>
      <c r="G220" s="1" t="s">
        <v>438</v>
      </c>
      <c r="H220" s="1" t="s">
        <v>894</v>
      </c>
      <c r="I220" s="1" t="s">
        <v>1343</v>
      </c>
      <c r="J220" s="1" t="s">
        <v>207</v>
      </c>
      <c r="K220" s="1" t="s">
        <v>540</v>
      </c>
      <c r="L220" s="5">
        <v>2300</v>
      </c>
      <c r="M220" s="1" t="s">
        <v>993</v>
      </c>
      <c r="N220" s="6">
        <v>44789</v>
      </c>
      <c r="O220" s="6">
        <v>44926</v>
      </c>
      <c r="P220" s="1" t="s">
        <v>1357</v>
      </c>
    </row>
    <row r="221" spans="1:16" hidden="1" x14ac:dyDescent="0.25">
      <c r="A221" s="4">
        <v>217</v>
      </c>
      <c r="B221" s="2" t="str">
        <f>HYPERLINK("https://my.zakupivli.pro/remote/dispatcher/state_purchase_view/37242044", "UA-2022-08-26-006710-a")</f>
        <v>UA-2022-08-26-006710-a</v>
      </c>
      <c r="C221" s="2" t="str">
        <f>HYPERLINK("https://my.zakupivli.pro/remote/dispatcher/state_contracting_view/13915949", "UA-2022-08-26-006710-a-b1")</f>
        <v>UA-2022-08-26-006710-a-b1</v>
      </c>
      <c r="D221" s="1" t="s">
        <v>583</v>
      </c>
      <c r="E221" s="1" t="s">
        <v>1005</v>
      </c>
      <c r="F221" s="1" t="s">
        <v>935</v>
      </c>
      <c r="G221" s="1" t="s">
        <v>263</v>
      </c>
      <c r="H221" s="1" t="s">
        <v>894</v>
      </c>
      <c r="I221" s="1" t="s">
        <v>1344</v>
      </c>
      <c r="J221" s="1" t="s">
        <v>293</v>
      </c>
      <c r="K221" s="1" t="s">
        <v>61</v>
      </c>
      <c r="L221" s="5">
        <v>2280</v>
      </c>
      <c r="M221" s="1" t="s">
        <v>993</v>
      </c>
      <c r="N221" s="6">
        <v>44795</v>
      </c>
      <c r="O221" s="6">
        <v>44926</v>
      </c>
      <c r="P221" s="1" t="s">
        <v>1357</v>
      </c>
    </row>
    <row r="222" spans="1:16" hidden="1" x14ac:dyDescent="0.25">
      <c r="A222" s="4">
        <v>218</v>
      </c>
      <c r="B222" s="2" t="str">
        <f>HYPERLINK("https://my.zakupivli.pro/remote/dispatcher/state_purchase_view/37243141", "UA-2022-08-26-007287-a")</f>
        <v>UA-2022-08-26-007287-a</v>
      </c>
      <c r="C222" s="2" t="str">
        <f>HYPERLINK("https://my.zakupivli.pro/remote/dispatcher/state_contracting_view/13916346", "UA-2022-08-26-007287-a-b1")</f>
        <v>UA-2022-08-26-007287-a-b1</v>
      </c>
      <c r="D222" s="1" t="s">
        <v>537</v>
      </c>
      <c r="E222" s="1" t="s">
        <v>1005</v>
      </c>
      <c r="F222" s="1" t="s">
        <v>936</v>
      </c>
      <c r="G222" s="1" t="s">
        <v>263</v>
      </c>
      <c r="H222" s="1" t="s">
        <v>894</v>
      </c>
      <c r="I222" s="1" t="s">
        <v>1344</v>
      </c>
      <c r="J222" s="1" t="s">
        <v>293</v>
      </c>
      <c r="K222" s="1" t="s">
        <v>140</v>
      </c>
      <c r="L222" s="5">
        <v>12360</v>
      </c>
      <c r="M222" s="1" t="s">
        <v>993</v>
      </c>
      <c r="N222" s="6">
        <v>44795</v>
      </c>
      <c r="O222" s="6">
        <v>44926</v>
      </c>
      <c r="P222" s="1" t="s">
        <v>1357</v>
      </c>
    </row>
    <row r="223" spans="1:16" hidden="1" x14ac:dyDescent="0.25">
      <c r="A223" s="4">
        <v>219</v>
      </c>
      <c r="B223" s="2" t="str">
        <f>HYPERLINK("https://my.zakupivli.pro/remote/dispatcher/state_purchase_view/38447959", "UA-2022-11-09-007653-a")</f>
        <v>UA-2022-11-09-007653-a</v>
      </c>
      <c r="C223" s="2" t="str">
        <f>HYPERLINK("https://my.zakupivli.pro/remote/dispatcher/state_contracting_view/14506668", "UA-2022-11-09-007653-a-c1")</f>
        <v>UA-2022-11-09-007653-a-c1</v>
      </c>
      <c r="D223" s="1" t="s">
        <v>386</v>
      </c>
      <c r="E223" s="1" t="s">
        <v>1046</v>
      </c>
      <c r="F223" s="1" t="s">
        <v>1045</v>
      </c>
      <c r="G223" s="1" t="s">
        <v>265</v>
      </c>
      <c r="H223" s="1" t="s">
        <v>894</v>
      </c>
      <c r="I223" s="1" t="s">
        <v>1344</v>
      </c>
      <c r="J223" s="1" t="s">
        <v>293</v>
      </c>
      <c r="K223" s="1" t="s">
        <v>141</v>
      </c>
      <c r="L223" s="5">
        <v>1228.92</v>
      </c>
      <c r="M223" s="1" t="s">
        <v>993</v>
      </c>
      <c r="N223" s="6">
        <v>44873</v>
      </c>
      <c r="O223" s="6">
        <v>44926</v>
      </c>
      <c r="P223" s="1" t="s">
        <v>1357</v>
      </c>
    </row>
    <row r="224" spans="1:16" hidden="1" x14ac:dyDescent="0.25">
      <c r="A224" s="4">
        <v>220</v>
      </c>
      <c r="B224" s="2" t="str">
        <f>HYPERLINK("https://my.zakupivli.pro/remote/dispatcher/state_purchase_view/38484654", "UA-2022-11-10-011180-a")</f>
        <v>UA-2022-11-10-011180-a</v>
      </c>
      <c r="C224" s="2" t="str">
        <f>HYPERLINK("https://my.zakupivli.pro/remote/dispatcher/state_contracting_view/14523296", "UA-2022-11-10-011180-a-c1")</f>
        <v>UA-2022-11-10-011180-a-c1</v>
      </c>
      <c r="D224" s="1" t="s">
        <v>742</v>
      </c>
      <c r="E224" s="1" t="s">
        <v>997</v>
      </c>
      <c r="F224" s="1" t="s">
        <v>996</v>
      </c>
      <c r="G224" s="1" t="s">
        <v>471</v>
      </c>
      <c r="H224" s="1" t="s">
        <v>894</v>
      </c>
      <c r="I224" s="1" t="s">
        <v>1018</v>
      </c>
      <c r="J224" s="1" t="s">
        <v>330</v>
      </c>
      <c r="K224" s="1" t="s">
        <v>128</v>
      </c>
      <c r="L224" s="5">
        <v>600</v>
      </c>
      <c r="M224" s="1" t="s">
        <v>1293</v>
      </c>
      <c r="N224" s="6">
        <v>44873</v>
      </c>
      <c r="O224" s="6">
        <v>44926</v>
      </c>
      <c r="P224" s="1" t="s">
        <v>1357</v>
      </c>
    </row>
    <row r="225" spans="1:16" hidden="1" x14ac:dyDescent="0.25">
      <c r="A225" s="4">
        <v>221</v>
      </c>
      <c r="B225" s="2" t="str">
        <f>HYPERLINK("https://my.zakupivli.pro/remote/dispatcher/state_purchase_view/38613911", "UA-2022-11-16-012495-a")</f>
        <v>UA-2022-11-16-012495-a</v>
      </c>
      <c r="C225" s="2" t="str">
        <f>HYPERLINK("https://my.zakupivli.pro/remote/dispatcher/state_contracting_view/14583164", "UA-2022-11-16-012495-a-b1")</f>
        <v>UA-2022-11-16-012495-a-b1</v>
      </c>
      <c r="D225" s="1" t="s">
        <v>396</v>
      </c>
      <c r="E225" s="1" t="s">
        <v>970</v>
      </c>
      <c r="F225" s="1" t="s">
        <v>970</v>
      </c>
      <c r="G225" s="1" t="s">
        <v>267</v>
      </c>
      <c r="H225" s="1" t="s">
        <v>894</v>
      </c>
      <c r="I225" s="1" t="s">
        <v>1269</v>
      </c>
      <c r="J225" s="1" t="s">
        <v>388</v>
      </c>
      <c r="K225" s="1" t="s">
        <v>457</v>
      </c>
      <c r="L225" s="5">
        <v>6490</v>
      </c>
      <c r="M225" s="1" t="s">
        <v>993</v>
      </c>
      <c r="N225" s="6">
        <v>44879</v>
      </c>
      <c r="O225" s="6">
        <v>44926</v>
      </c>
      <c r="P225" s="1" t="s">
        <v>1357</v>
      </c>
    </row>
    <row r="226" spans="1:16" hidden="1" x14ac:dyDescent="0.25">
      <c r="A226" s="4">
        <v>222</v>
      </c>
      <c r="B226" s="2" t="str">
        <f>HYPERLINK("https://my.zakupivli.pro/remote/dispatcher/state_purchase_view/34313033", "UA-2022-01-21-012411-b")</f>
        <v>UA-2022-01-21-012411-b</v>
      </c>
      <c r="C226" s="2" t="str">
        <f>HYPERLINK("https://my.zakupivli.pro/remote/dispatcher/state_contracting_view/12488485", "UA-2022-01-21-012411-b-b1")</f>
        <v>UA-2022-01-21-012411-b-b1</v>
      </c>
      <c r="D226" s="1" t="s">
        <v>732</v>
      </c>
      <c r="E226" s="1" t="s">
        <v>1214</v>
      </c>
      <c r="F226" s="1" t="s">
        <v>1214</v>
      </c>
      <c r="G226" s="1" t="s">
        <v>521</v>
      </c>
      <c r="H226" s="1" t="s">
        <v>894</v>
      </c>
      <c r="I226" s="1" t="s">
        <v>920</v>
      </c>
      <c r="J226" s="1" t="s">
        <v>37</v>
      </c>
      <c r="K226" s="1" t="s">
        <v>625</v>
      </c>
      <c r="L226" s="5">
        <v>5595.61</v>
      </c>
      <c r="M226" s="1" t="s">
        <v>1293</v>
      </c>
      <c r="N226" s="6">
        <v>44582</v>
      </c>
      <c r="O226" s="6">
        <v>44926</v>
      </c>
      <c r="P226" s="1" t="s">
        <v>1357</v>
      </c>
    </row>
    <row r="227" spans="1:16" hidden="1" x14ac:dyDescent="0.25">
      <c r="A227" s="4">
        <v>223</v>
      </c>
      <c r="B227" s="2" t="str">
        <f>HYPERLINK("https://my.zakupivli.pro/remote/dispatcher/state_purchase_view/36325859", "UA-2022-06-08-006469-a")</f>
        <v>UA-2022-06-08-006469-a</v>
      </c>
      <c r="C227" s="2" t="str">
        <f>HYPERLINK("https://my.zakupivli.pro/remote/dispatcher/state_contracting_view/13483100", "UA-2022-06-08-006469-a-b1")</f>
        <v>UA-2022-06-08-006469-a-b1</v>
      </c>
      <c r="D227" s="1" t="s">
        <v>788</v>
      </c>
      <c r="E227" s="1" t="s">
        <v>1119</v>
      </c>
      <c r="F227" s="1" t="s">
        <v>1074</v>
      </c>
      <c r="G227" s="1" t="s">
        <v>472</v>
      </c>
      <c r="H227" s="1" t="s">
        <v>894</v>
      </c>
      <c r="I227" s="1" t="s">
        <v>1030</v>
      </c>
      <c r="J227" s="1" t="s">
        <v>278</v>
      </c>
      <c r="K227" s="1" t="s">
        <v>118</v>
      </c>
      <c r="L227" s="5">
        <v>2649.5</v>
      </c>
      <c r="M227" s="1" t="s">
        <v>1293</v>
      </c>
      <c r="N227" s="6">
        <v>44720</v>
      </c>
      <c r="O227" s="6">
        <v>44926</v>
      </c>
      <c r="P227" s="1" t="s">
        <v>1357</v>
      </c>
    </row>
    <row r="228" spans="1:16" hidden="1" x14ac:dyDescent="0.25">
      <c r="A228" s="4">
        <v>224</v>
      </c>
      <c r="B228" s="2" t="str">
        <f>HYPERLINK("https://my.zakupivli.pro/remote/dispatcher/state_purchase_view/36859183", "UA-2022-07-29-005992-a")</f>
        <v>UA-2022-07-29-005992-a</v>
      </c>
      <c r="C228" s="2" t="str">
        <f>HYPERLINK("https://my.zakupivli.pro/remote/dispatcher/state_contracting_view/13732652", "UA-2022-07-29-005992-a-b1")</f>
        <v>UA-2022-07-29-005992-a-b1</v>
      </c>
      <c r="D228" s="1" t="s">
        <v>801</v>
      </c>
      <c r="E228" s="1" t="s">
        <v>889</v>
      </c>
      <c r="F228" s="1" t="s">
        <v>1157</v>
      </c>
      <c r="G228" s="1" t="s">
        <v>415</v>
      </c>
      <c r="H228" s="1" t="s">
        <v>894</v>
      </c>
      <c r="I228" s="1" t="s">
        <v>978</v>
      </c>
      <c r="J228" s="1" t="s">
        <v>243</v>
      </c>
      <c r="K228" s="1" t="s">
        <v>508</v>
      </c>
      <c r="L228" s="5">
        <v>29811.119999999999</v>
      </c>
      <c r="M228" s="1" t="s">
        <v>993</v>
      </c>
      <c r="N228" s="6">
        <v>44768</v>
      </c>
      <c r="O228" s="6">
        <v>44926</v>
      </c>
      <c r="P228" s="1" t="s">
        <v>1357</v>
      </c>
    </row>
    <row r="229" spans="1:16" hidden="1" x14ac:dyDescent="0.25">
      <c r="A229" s="4">
        <v>225</v>
      </c>
      <c r="B229" s="2" t="str">
        <f>HYPERLINK("https://my.zakupivli.pro/remote/dispatcher/state_purchase_view/36368272", "UA-2022-06-14-001771-a")</f>
        <v>UA-2022-06-14-001771-a</v>
      </c>
      <c r="C229" s="2" t="str">
        <f>HYPERLINK("https://my.zakupivli.pro/remote/dispatcher/state_contracting_view/13495784", "UA-2022-06-14-001771-a-b1")</f>
        <v>UA-2022-06-14-001771-a-b1</v>
      </c>
      <c r="D229" s="1" t="s">
        <v>491</v>
      </c>
      <c r="E229" s="1" t="s">
        <v>884</v>
      </c>
      <c r="F229" s="1" t="s">
        <v>884</v>
      </c>
      <c r="G229" s="1" t="s">
        <v>471</v>
      </c>
      <c r="H229" s="1" t="s">
        <v>894</v>
      </c>
      <c r="I229" s="1" t="s">
        <v>1277</v>
      </c>
      <c r="J229" s="1" t="s">
        <v>389</v>
      </c>
      <c r="K229" s="1" t="s">
        <v>508</v>
      </c>
      <c r="L229" s="5">
        <v>2033.75</v>
      </c>
      <c r="M229" s="1" t="s">
        <v>1293</v>
      </c>
      <c r="N229" s="6">
        <v>44725</v>
      </c>
      <c r="O229" s="6">
        <v>44926</v>
      </c>
      <c r="P229" s="1" t="s">
        <v>1357</v>
      </c>
    </row>
    <row r="230" spans="1:16" hidden="1" x14ac:dyDescent="0.25">
      <c r="A230" s="4">
        <v>226</v>
      </c>
      <c r="B230" s="2" t="str">
        <f>HYPERLINK("https://my.zakupivli.pro/remote/dispatcher/state_purchase_view/36098083", "UA-2022-05-11-001245-a")</f>
        <v>UA-2022-05-11-001245-a</v>
      </c>
      <c r="C230" s="2" t="str">
        <f>HYPERLINK("https://my.zakupivli.pro/remote/dispatcher/state_contracting_view/13354879", "UA-2022-05-11-001245-a-a1")</f>
        <v>UA-2022-05-11-001245-a-a1</v>
      </c>
      <c r="D230" s="1" t="s">
        <v>602</v>
      </c>
      <c r="E230" s="1" t="s">
        <v>1359</v>
      </c>
      <c r="F230" s="1" t="s">
        <v>1359</v>
      </c>
      <c r="G230" s="1" t="s">
        <v>264</v>
      </c>
      <c r="H230" s="1" t="s">
        <v>894</v>
      </c>
      <c r="I230" s="1" t="s">
        <v>928</v>
      </c>
      <c r="J230" s="1" t="s">
        <v>228</v>
      </c>
      <c r="K230" s="1" t="s">
        <v>186</v>
      </c>
      <c r="L230" s="5">
        <v>2899.8</v>
      </c>
      <c r="M230" s="1" t="s">
        <v>993</v>
      </c>
      <c r="N230" s="6">
        <v>44691</v>
      </c>
      <c r="O230" s="6">
        <v>44926</v>
      </c>
      <c r="P230" s="1" t="s">
        <v>1357</v>
      </c>
    </row>
    <row r="231" spans="1:16" hidden="1" x14ac:dyDescent="0.25">
      <c r="A231" s="4">
        <v>227</v>
      </c>
      <c r="B231" s="2" t="str">
        <f>HYPERLINK("https://my.zakupivli.pro/remote/dispatcher/state_purchase_view/37296834", "UA-2022-08-31-006874-a")</f>
        <v>UA-2022-08-31-006874-a</v>
      </c>
      <c r="C231" s="2" t="str">
        <f>HYPERLINK("https://my.zakupivli.pro/remote/dispatcher/state_contracting_view/13942804", "UA-2022-08-31-006874-a-b1")</f>
        <v>UA-2022-08-31-006874-a-b1</v>
      </c>
      <c r="D231" s="1" t="s">
        <v>794</v>
      </c>
      <c r="E231" s="1" t="s">
        <v>898</v>
      </c>
      <c r="F231" s="1" t="s">
        <v>863</v>
      </c>
      <c r="G231" s="1" t="s">
        <v>357</v>
      </c>
      <c r="H231" s="1" t="s">
        <v>894</v>
      </c>
      <c r="I231" s="1" t="s">
        <v>1290</v>
      </c>
      <c r="J231" s="1" t="s">
        <v>275</v>
      </c>
      <c r="K231" s="1" t="s">
        <v>540</v>
      </c>
      <c r="L231" s="5">
        <v>588</v>
      </c>
      <c r="M231" s="1" t="s">
        <v>993</v>
      </c>
      <c r="N231" s="6">
        <v>44799</v>
      </c>
      <c r="O231" s="6">
        <v>44926</v>
      </c>
      <c r="P231" s="1" t="s">
        <v>1357</v>
      </c>
    </row>
    <row r="232" spans="1:16" hidden="1" x14ac:dyDescent="0.25">
      <c r="A232" s="4">
        <v>228</v>
      </c>
      <c r="B232" s="2" t="str">
        <f>HYPERLINK("https://my.zakupivli.pro/remote/dispatcher/state_purchase_view/33577588", "UA-2021-12-22-017492-c")</f>
        <v>UA-2021-12-22-017492-c</v>
      </c>
      <c r="C232" s="2" t="str">
        <f>HYPERLINK("https://my.zakupivli.pro/remote/dispatcher/state_contracting_view/12457473", "UA-2021-12-22-017492-c-c1")</f>
        <v>UA-2021-12-22-017492-c-c1</v>
      </c>
      <c r="D232" s="1" t="s">
        <v>790</v>
      </c>
      <c r="E232" s="1" t="s">
        <v>887</v>
      </c>
      <c r="F232" s="1" t="s">
        <v>887</v>
      </c>
      <c r="G232" s="1" t="s">
        <v>53</v>
      </c>
      <c r="H232" s="1" t="s">
        <v>1242</v>
      </c>
      <c r="I232" s="1" t="s">
        <v>1276</v>
      </c>
      <c r="J232" s="1" t="s">
        <v>384</v>
      </c>
      <c r="K232" s="1" t="s">
        <v>163</v>
      </c>
      <c r="L232" s="5">
        <v>31172.1</v>
      </c>
      <c r="M232" s="1" t="s">
        <v>1293</v>
      </c>
      <c r="N232" s="6">
        <v>44581</v>
      </c>
      <c r="O232" s="6">
        <v>44926</v>
      </c>
      <c r="P232" s="1" t="s">
        <v>1357</v>
      </c>
    </row>
    <row r="233" spans="1:16" hidden="1" x14ac:dyDescent="0.25">
      <c r="A233" s="4">
        <v>229</v>
      </c>
      <c r="B233" s="2" t="str">
        <f>HYPERLINK("https://my.zakupivli.pro/remote/dispatcher/state_purchase_view/33832143", "UA-2021-12-29-004731-c")</f>
        <v>UA-2021-12-29-004731-c</v>
      </c>
      <c r="C233" s="2" t="str">
        <f>HYPERLINK("https://my.zakupivli.pro/remote/dispatcher/state_contracting_view/12457699", "UA-2021-12-29-004731-c-c1")</f>
        <v>UA-2021-12-29-004731-c-c1</v>
      </c>
      <c r="D233" s="1" t="s">
        <v>494</v>
      </c>
      <c r="E233" s="1" t="s">
        <v>869</v>
      </c>
      <c r="F233" s="1" t="s">
        <v>869</v>
      </c>
      <c r="G233" s="1" t="s">
        <v>54</v>
      </c>
      <c r="H233" s="1" t="s">
        <v>1056</v>
      </c>
      <c r="I233" s="1" t="s">
        <v>1020</v>
      </c>
      <c r="J233" s="1" t="s">
        <v>35</v>
      </c>
      <c r="K233" s="1" t="s">
        <v>485</v>
      </c>
      <c r="L233" s="5">
        <v>613534.94999999995</v>
      </c>
      <c r="M233" s="1" t="s">
        <v>1293</v>
      </c>
      <c r="N233" s="6">
        <v>44575</v>
      </c>
      <c r="O233" s="6">
        <v>44926</v>
      </c>
      <c r="P233" s="1" t="s">
        <v>1357</v>
      </c>
    </row>
    <row r="234" spans="1:16" hidden="1" x14ac:dyDescent="0.25">
      <c r="A234" s="4">
        <v>230</v>
      </c>
      <c r="B234" s="2" t="str">
        <f>HYPERLINK("https://my.zakupivli.pro/remote/dispatcher/state_purchase_view/34343688", "UA-2022-01-24-003061-b")</f>
        <v>UA-2022-01-24-003061-b</v>
      </c>
      <c r="C234" s="2" t="str">
        <f>HYPERLINK("https://my.zakupivli.pro/remote/dispatcher/state_contracting_view/12501097", "UA-2022-01-24-003061-b-b1")</f>
        <v>UA-2022-01-24-003061-b-b1</v>
      </c>
      <c r="D234" s="1" t="s">
        <v>672</v>
      </c>
      <c r="E234" s="1" t="s">
        <v>1348</v>
      </c>
      <c r="F234" s="1" t="s">
        <v>1348</v>
      </c>
      <c r="G234" s="1" t="s">
        <v>469</v>
      </c>
      <c r="H234" s="1" t="s">
        <v>894</v>
      </c>
      <c r="I234" s="1" t="s">
        <v>1018</v>
      </c>
      <c r="J234" s="1" t="s">
        <v>330</v>
      </c>
      <c r="K234" s="1" t="s">
        <v>429</v>
      </c>
      <c r="L234" s="5">
        <v>7200</v>
      </c>
      <c r="M234" s="1" t="s">
        <v>1293</v>
      </c>
      <c r="N234" s="6">
        <v>44582</v>
      </c>
      <c r="O234" s="6">
        <v>44926</v>
      </c>
      <c r="P234" s="1" t="s">
        <v>1357</v>
      </c>
    </row>
    <row r="235" spans="1:16" hidden="1" x14ac:dyDescent="0.25">
      <c r="A235" s="4">
        <v>231</v>
      </c>
      <c r="B235" s="2" t="str">
        <f>HYPERLINK("https://my.zakupivli.pro/remote/dispatcher/state_purchase_view/34319014", "UA-2022-01-21-014436-b")</f>
        <v>UA-2022-01-21-014436-b</v>
      </c>
      <c r="C235" s="2" t="str">
        <f>HYPERLINK("https://my.zakupivli.pro/remote/dispatcher/state_contracting_view/12491070", "UA-2022-01-21-014436-b-b1")</f>
        <v>UA-2022-01-21-014436-b-b1</v>
      </c>
      <c r="D235" s="1" t="s">
        <v>690</v>
      </c>
      <c r="E235" s="1" t="s">
        <v>1215</v>
      </c>
      <c r="F235" s="1" t="s">
        <v>1215</v>
      </c>
      <c r="G235" s="1" t="s">
        <v>522</v>
      </c>
      <c r="H235" s="1" t="s">
        <v>894</v>
      </c>
      <c r="I235" s="1" t="s">
        <v>818</v>
      </c>
      <c r="J235" s="1" t="s">
        <v>10</v>
      </c>
      <c r="K235" s="1" t="s">
        <v>160</v>
      </c>
      <c r="L235" s="5">
        <v>8904.7099999999991</v>
      </c>
      <c r="M235" s="1" t="s">
        <v>1293</v>
      </c>
      <c r="N235" s="6">
        <v>44582</v>
      </c>
      <c r="O235" s="6">
        <v>44926</v>
      </c>
      <c r="P235" s="1" t="s">
        <v>1357</v>
      </c>
    </row>
    <row r="236" spans="1:16" hidden="1" x14ac:dyDescent="0.25">
      <c r="A236" s="4">
        <v>232</v>
      </c>
      <c r="B236" s="2" t="str">
        <f>HYPERLINK("https://my.zakupivli.pro/remote/dispatcher/state_purchase_view/34654231", "UA-2022-01-31-009532-b")</f>
        <v>UA-2022-01-31-009532-b</v>
      </c>
      <c r="C236" s="2" t="str">
        <f>HYPERLINK("https://my.zakupivli.pro/remote/dispatcher/state_contracting_view/12642386", "UA-2022-01-31-009532-b-b1")</f>
        <v>UA-2022-01-31-009532-b-b1</v>
      </c>
      <c r="D236" s="1" t="s">
        <v>437</v>
      </c>
      <c r="E236" s="1" t="s">
        <v>1010</v>
      </c>
      <c r="F236" s="1" t="s">
        <v>1010</v>
      </c>
      <c r="G236" s="1" t="s">
        <v>577</v>
      </c>
      <c r="H236" s="1" t="s">
        <v>894</v>
      </c>
      <c r="I236" s="1" t="s">
        <v>1284</v>
      </c>
      <c r="J236" s="1" t="s">
        <v>387</v>
      </c>
      <c r="K236" s="1" t="s">
        <v>1059</v>
      </c>
      <c r="L236" s="5">
        <v>7200</v>
      </c>
      <c r="M236" s="1" t="s">
        <v>993</v>
      </c>
      <c r="N236" s="6">
        <v>44592</v>
      </c>
      <c r="O236" s="6">
        <v>44926</v>
      </c>
      <c r="P236" s="1" t="s">
        <v>1357</v>
      </c>
    </row>
    <row r="237" spans="1:16" hidden="1" x14ac:dyDescent="0.25">
      <c r="A237" s="4">
        <v>233</v>
      </c>
      <c r="B237" s="2" t="str">
        <f>HYPERLINK("https://my.zakupivli.pro/remote/dispatcher/state_purchase_view/37958943", "UA-2022-10-13-005213-a")</f>
        <v>UA-2022-10-13-005213-a</v>
      </c>
      <c r="C237" s="2" t="str">
        <f>HYPERLINK("https://my.zakupivli.pro/remote/dispatcher/state_contracting_view/14266621", "UA-2022-10-13-005213-a-b1")</f>
        <v>UA-2022-10-13-005213-a-b1</v>
      </c>
      <c r="D237" s="1" t="s">
        <v>312</v>
      </c>
      <c r="E237" s="1" t="s">
        <v>1112</v>
      </c>
      <c r="F237" s="1" t="s">
        <v>1112</v>
      </c>
      <c r="G237" s="1" t="s">
        <v>465</v>
      </c>
      <c r="H237" s="1" t="s">
        <v>894</v>
      </c>
      <c r="I237" s="1" t="s">
        <v>1287</v>
      </c>
      <c r="J237" s="1" t="s">
        <v>411</v>
      </c>
      <c r="K237" s="1" t="s">
        <v>313</v>
      </c>
      <c r="L237" s="5">
        <v>4500</v>
      </c>
      <c r="M237" s="1" t="s">
        <v>993</v>
      </c>
      <c r="N237" s="6">
        <v>44846</v>
      </c>
      <c r="O237" s="6">
        <v>44926</v>
      </c>
      <c r="P237" s="1" t="s">
        <v>1357</v>
      </c>
    </row>
    <row r="238" spans="1:16" hidden="1" x14ac:dyDescent="0.25">
      <c r="A238" s="4">
        <v>234</v>
      </c>
      <c r="B238" s="2" t="str">
        <f>HYPERLINK("https://my.zakupivli.pro/remote/dispatcher/state_purchase_view/38460224", "UA-2022-11-09-013396-a")</f>
        <v>UA-2022-11-09-013396-a</v>
      </c>
      <c r="C238" s="2" t="str">
        <f>HYPERLINK("https://my.zakupivli.pro/remote/dispatcher/state_contracting_view/14511965", "UA-2022-11-09-013396-a-c1")</f>
        <v>UA-2022-11-09-013396-a-c1</v>
      </c>
      <c r="D238" s="1" t="s">
        <v>677</v>
      </c>
      <c r="E238" s="1" t="s">
        <v>1212</v>
      </c>
      <c r="F238" s="1" t="s">
        <v>1039</v>
      </c>
      <c r="G238" s="1" t="s">
        <v>169</v>
      </c>
      <c r="H238" s="1" t="s">
        <v>894</v>
      </c>
      <c r="I238" s="1" t="s">
        <v>1344</v>
      </c>
      <c r="J238" s="1" t="s">
        <v>293</v>
      </c>
      <c r="K238" s="1" t="s">
        <v>63</v>
      </c>
      <c r="L238" s="5">
        <v>1840</v>
      </c>
      <c r="M238" s="1" t="s">
        <v>993</v>
      </c>
      <c r="N238" s="6">
        <v>44873</v>
      </c>
      <c r="O238" s="6">
        <v>44926</v>
      </c>
      <c r="P238" s="1" t="s">
        <v>1357</v>
      </c>
    </row>
    <row r="239" spans="1:16" hidden="1" x14ac:dyDescent="0.25">
      <c r="A239" s="4">
        <v>235</v>
      </c>
      <c r="B239" s="2" t="str">
        <f>HYPERLINK("https://my.zakupivli.pro/remote/dispatcher/state_purchase_view/37297252", "UA-2022-08-31-007084-a")</f>
        <v>UA-2022-08-31-007084-a</v>
      </c>
      <c r="C239" s="2" t="str">
        <f>HYPERLINK("https://my.zakupivli.pro/remote/dispatcher/state_contracting_view/13943001", "UA-2022-08-31-007084-a-b1")</f>
        <v>UA-2022-08-31-007084-a-b1</v>
      </c>
      <c r="D239" s="1" t="s">
        <v>481</v>
      </c>
      <c r="E239" s="1" t="s">
        <v>815</v>
      </c>
      <c r="F239" s="1" t="s">
        <v>1110</v>
      </c>
      <c r="G239" s="1" t="s">
        <v>421</v>
      </c>
      <c r="H239" s="1" t="s">
        <v>894</v>
      </c>
      <c r="I239" s="1" t="s">
        <v>1336</v>
      </c>
      <c r="J239" s="1" t="s">
        <v>222</v>
      </c>
      <c r="K239" s="1" t="s">
        <v>254</v>
      </c>
      <c r="L239" s="5">
        <v>30495.599999999999</v>
      </c>
      <c r="M239" s="1" t="s">
        <v>993</v>
      </c>
      <c r="N239" s="6">
        <v>44802</v>
      </c>
      <c r="O239" s="6">
        <v>44926</v>
      </c>
      <c r="P239" s="1" t="s">
        <v>1357</v>
      </c>
    </row>
    <row r="240" spans="1:16" hidden="1" x14ac:dyDescent="0.25">
      <c r="A240" s="4">
        <v>236</v>
      </c>
      <c r="B240" s="2" t="str">
        <f>HYPERLINK("https://my.zakupivli.pro/remote/dispatcher/state_purchase_view/34475836", "UA-2022-01-26-008173-b")</f>
        <v>UA-2022-01-26-008173-b</v>
      </c>
      <c r="C240" s="2" t="str">
        <f>HYPERLINK("https://my.zakupivli.pro/remote/dispatcher/state_contracting_view/12560135", "UA-2022-01-26-008173-b-b1")</f>
        <v>UA-2022-01-26-008173-b-b1</v>
      </c>
      <c r="D240" s="1" t="s">
        <v>482</v>
      </c>
      <c r="E240" s="1" t="s">
        <v>1158</v>
      </c>
      <c r="F240" s="1" t="s">
        <v>1158</v>
      </c>
      <c r="G240" s="1" t="s">
        <v>553</v>
      </c>
      <c r="H240" s="1" t="s">
        <v>894</v>
      </c>
      <c r="I240" s="1" t="s">
        <v>1021</v>
      </c>
      <c r="J240" s="1" t="s">
        <v>279</v>
      </c>
      <c r="K240" s="1" t="s">
        <v>299</v>
      </c>
      <c r="L240" s="5">
        <v>7440</v>
      </c>
      <c r="M240" s="1" t="s">
        <v>993</v>
      </c>
      <c r="N240" s="6">
        <v>44587</v>
      </c>
      <c r="O240" s="6">
        <v>44926</v>
      </c>
      <c r="P240" s="1" t="s">
        <v>1357</v>
      </c>
    </row>
    <row r="241" spans="1:16" hidden="1" x14ac:dyDescent="0.25">
      <c r="A241" s="4">
        <v>237</v>
      </c>
      <c r="B241" s="2" t="str">
        <f>HYPERLINK("https://my.zakupivli.pro/remote/dispatcher/state_purchase_view/36531506", "UA-2022-06-30-005769-a")</f>
        <v>UA-2022-06-30-005769-a</v>
      </c>
      <c r="C241" s="2" t="str">
        <f>HYPERLINK("https://my.zakupivli.pro/remote/dispatcher/state_contracting_view/13578192", "UA-2022-06-30-005769-a-b1")</f>
        <v>UA-2022-06-30-005769-a-b1</v>
      </c>
      <c r="D241" s="1" t="s">
        <v>738</v>
      </c>
      <c r="E241" s="1" t="s">
        <v>1118</v>
      </c>
      <c r="F241" s="1" t="s">
        <v>1118</v>
      </c>
      <c r="G241" s="1" t="s">
        <v>469</v>
      </c>
      <c r="H241" s="1" t="s">
        <v>894</v>
      </c>
      <c r="I241" s="1" t="s">
        <v>1020</v>
      </c>
      <c r="J241" s="1" t="s">
        <v>35</v>
      </c>
      <c r="K241" s="1" t="s">
        <v>260</v>
      </c>
      <c r="L241" s="5">
        <v>5756.65</v>
      </c>
      <c r="M241" s="1" t="s">
        <v>1293</v>
      </c>
      <c r="N241" s="6">
        <v>44739</v>
      </c>
      <c r="O241" s="6">
        <v>44926</v>
      </c>
      <c r="P241" s="1" t="s">
        <v>1357</v>
      </c>
    </row>
    <row r="242" spans="1:16" hidden="1" x14ac:dyDescent="0.25">
      <c r="A242" s="4">
        <v>238</v>
      </c>
      <c r="B242" s="2" t="str">
        <f>HYPERLINK("https://my.zakupivli.pro/remote/dispatcher/state_purchase_view/34342047", "UA-2022-01-24-002541-b")</f>
        <v>UA-2022-01-24-002541-b</v>
      </c>
      <c r="C242" s="2" t="str">
        <f>HYPERLINK("https://my.zakupivli.pro/remote/dispatcher/state_contracting_view/12500126", "UA-2022-01-24-002541-b-b1")</f>
        <v>UA-2022-01-24-002541-b-b1</v>
      </c>
      <c r="D242" s="1" t="s">
        <v>644</v>
      </c>
      <c r="E242" s="1" t="s">
        <v>9</v>
      </c>
      <c r="F242" s="1" t="s">
        <v>1216</v>
      </c>
      <c r="G242" s="1" t="s">
        <v>522</v>
      </c>
      <c r="H242" s="1" t="s">
        <v>894</v>
      </c>
      <c r="I242" s="1" t="s">
        <v>818</v>
      </c>
      <c r="J242" s="1" t="s">
        <v>10</v>
      </c>
      <c r="K242" s="1" t="s">
        <v>162</v>
      </c>
      <c r="L242" s="5">
        <v>1200</v>
      </c>
      <c r="M242" s="1" t="s">
        <v>1293</v>
      </c>
      <c r="N242" s="6">
        <v>44582</v>
      </c>
      <c r="O242" s="6">
        <v>44926</v>
      </c>
      <c r="P242" s="1" t="s">
        <v>1357</v>
      </c>
    </row>
    <row r="243" spans="1:16" hidden="1" x14ac:dyDescent="0.25">
      <c r="A243" s="4">
        <v>239</v>
      </c>
      <c r="B243" s="2" t="str">
        <f>HYPERLINK("https://my.zakupivli.pro/remote/dispatcher/state_purchase_view/34316442", "UA-2022-01-21-013497-b")</f>
        <v>UA-2022-01-21-013497-b</v>
      </c>
      <c r="C243" s="2" t="str">
        <f>HYPERLINK("https://my.zakupivli.pro/remote/dispatcher/state_contracting_view/12489814", "UA-2022-01-21-013497-b-b1")</f>
        <v>UA-2022-01-21-013497-b-b1</v>
      </c>
      <c r="D243" s="1" t="s">
        <v>729</v>
      </c>
      <c r="E243" s="1" t="s">
        <v>1092</v>
      </c>
      <c r="F243" s="1" t="s">
        <v>1092</v>
      </c>
      <c r="G243" s="1" t="s">
        <v>632</v>
      </c>
      <c r="H243" s="1" t="s">
        <v>894</v>
      </c>
      <c r="I243" s="1" t="s">
        <v>1019</v>
      </c>
      <c r="J243" s="1" t="s">
        <v>36</v>
      </c>
      <c r="K243" s="1" t="s">
        <v>664</v>
      </c>
      <c r="L243" s="5">
        <v>14660.89</v>
      </c>
      <c r="M243" s="1" t="s">
        <v>1293</v>
      </c>
      <c r="N243" s="6">
        <v>44582</v>
      </c>
      <c r="O243" s="6">
        <v>44926</v>
      </c>
      <c r="P243" s="1" t="s">
        <v>1357</v>
      </c>
    </row>
    <row r="244" spans="1:16" hidden="1" x14ac:dyDescent="0.25">
      <c r="A244" s="4">
        <v>240</v>
      </c>
      <c r="B244" s="2" t="str">
        <f>HYPERLINK("https://my.zakupivli.pro/remote/dispatcher/state_purchase_view/34457199", "UA-2022-01-26-002713-b")</f>
        <v>UA-2022-01-26-002713-b</v>
      </c>
      <c r="C244" s="2" t="str">
        <f>HYPERLINK("https://my.zakupivli.pro/remote/dispatcher/state_contracting_view/12552372", "UA-2022-01-26-002713-b-b1")</f>
        <v>UA-2022-01-26-002713-b-b1</v>
      </c>
      <c r="D244" s="1" t="s">
        <v>756</v>
      </c>
      <c r="E244" s="1" t="s">
        <v>1037</v>
      </c>
      <c r="F244" s="1" t="s">
        <v>1037</v>
      </c>
      <c r="G244" s="1" t="s">
        <v>439</v>
      </c>
      <c r="H244" s="1" t="s">
        <v>894</v>
      </c>
      <c r="I244" s="1" t="s">
        <v>1263</v>
      </c>
      <c r="J244" s="1" t="s">
        <v>206</v>
      </c>
      <c r="K244" s="1" t="s">
        <v>61</v>
      </c>
      <c r="L244" s="5">
        <v>22982.400000000001</v>
      </c>
      <c r="M244" s="1" t="s">
        <v>993</v>
      </c>
      <c r="N244" s="6">
        <v>44587</v>
      </c>
      <c r="O244" s="6">
        <v>44926</v>
      </c>
      <c r="P244" s="1" t="s">
        <v>1357</v>
      </c>
    </row>
    <row r="245" spans="1:16" hidden="1" x14ac:dyDescent="0.25">
      <c r="A245" s="4">
        <v>241</v>
      </c>
      <c r="B245" s="2" t="str">
        <f>HYPERLINK("https://my.zakupivli.pro/remote/dispatcher/state_purchase_view/34574944", "UA-2022-01-28-003045-b")</f>
        <v>UA-2022-01-28-003045-b</v>
      </c>
      <c r="C245" s="2" t="str">
        <f>HYPERLINK("https://my.zakupivli.pro/remote/dispatcher/state_contracting_view/12605354", "UA-2022-01-28-003045-b-b1")</f>
        <v>UA-2022-01-28-003045-b-b1</v>
      </c>
      <c r="D245" s="1" t="s">
        <v>138</v>
      </c>
      <c r="E245" s="1" t="s">
        <v>1170</v>
      </c>
      <c r="F245" s="1" t="s">
        <v>1170</v>
      </c>
      <c r="G245" s="1" t="s">
        <v>551</v>
      </c>
      <c r="H245" s="1" t="s">
        <v>894</v>
      </c>
      <c r="I245" s="1" t="s">
        <v>830</v>
      </c>
      <c r="J245" s="1" t="s">
        <v>232</v>
      </c>
      <c r="K245" s="1" t="s">
        <v>227</v>
      </c>
      <c r="L245" s="5">
        <v>24000</v>
      </c>
      <c r="M245" s="1" t="s">
        <v>993</v>
      </c>
      <c r="N245" s="6">
        <v>44589</v>
      </c>
      <c r="O245" s="6">
        <v>44926</v>
      </c>
      <c r="P245" s="1" t="s">
        <v>1357</v>
      </c>
    </row>
    <row r="246" spans="1:16" hidden="1" x14ac:dyDescent="0.25">
      <c r="A246" s="4">
        <v>242</v>
      </c>
      <c r="B246" s="2" t="str">
        <f>HYPERLINK("https://my.zakupivli.pro/remote/dispatcher/state_purchase_view/38630153", "UA-2022-11-17-006882-a")</f>
        <v>UA-2022-11-17-006882-a</v>
      </c>
      <c r="C246" s="2" t="str">
        <f>HYPERLINK("https://my.zakupivli.pro/remote/dispatcher/state_contracting_view/14590754", "UA-2022-11-17-006882-a-c1")</f>
        <v>UA-2022-11-17-006882-a-c1</v>
      </c>
      <c r="D246" s="1" t="s">
        <v>755</v>
      </c>
      <c r="E246" s="1" t="s">
        <v>1044</v>
      </c>
      <c r="F246" s="1" t="s">
        <v>1044</v>
      </c>
      <c r="G246" s="1" t="s">
        <v>265</v>
      </c>
      <c r="H246" s="1" t="s">
        <v>894</v>
      </c>
      <c r="I246" s="1" t="s">
        <v>1344</v>
      </c>
      <c r="J246" s="1" t="s">
        <v>293</v>
      </c>
      <c r="K246" s="1" t="s">
        <v>509</v>
      </c>
      <c r="L246" s="5">
        <v>9475.2000000000007</v>
      </c>
      <c r="M246" s="1" t="s">
        <v>993</v>
      </c>
      <c r="N246" s="6">
        <v>44879</v>
      </c>
      <c r="O246" s="6">
        <v>44926</v>
      </c>
      <c r="P246" s="1" t="s">
        <v>1357</v>
      </c>
    </row>
    <row r="247" spans="1:16" hidden="1" x14ac:dyDescent="0.25">
      <c r="A247" s="4">
        <v>243</v>
      </c>
      <c r="B247" s="2" t="str">
        <f>HYPERLINK("https://my.zakupivli.pro/remote/dispatcher/state_purchase_view/36326015", "UA-2022-06-08-006558-a")</f>
        <v>UA-2022-06-08-006558-a</v>
      </c>
      <c r="C247" s="2" t="str">
        <f>HYPERLINK("https://my.zakupivli.pro/remote/dispatcher/state_contracting_view/13483111", "UA-2022-06-08-006558-a-b1")</f>
        <v>UA-2022-06-08-006558-a-b1</v>
      </c>
      <c r="D247" s="1" t="s">
        <v>746</v>
      </c>
      <c r="E247" s="1" t="s">
        <v>1124</v>
      </c>
      <c r="F247" s="1" t="s">
        <v>1210</v>
      </c>
      <c r="G247" s="1" t="s">
        <v>473</v>
      </c>
      <c r="H247" s="1" t="s">
        <v>894</v>
      </c>
      <c r="I247" s="1" t="s">
        <v>1025</v>
      </c>
      <c r="J247" s="1" t="s">
        <v>374</v>
      </c>
      <c r="K247" s="1" t="s">
        <v>23</v>
      </c>
      <c r="L247" s="5">
        <v>6758.02</v>
      </c>
      <c r="M247" s="1" t="s">
        <v>993</v>
      </c>
      <c r="N247" s="6">
        <v>44720</v>
      </c>
      <c r="O247" s="6">
        <v>44926</v>
      </c>
      <c r="P247" s="1" t="s">
        <v>1357</v>
      </c>
    </row>
    <row r="248" spans="1:16" hidden="1" x14ac:dyDescent="0.25">
      <c r="A248" s="4">
        <v>244</v>
      </c>
      <c r="B248" s="2" t="str">
        <f>HYPERLINK("https://my.zakupivli.pro/remote/dispatcher/state_purchase_view/38458050", "UA-2022-11-09-012338-a")</f>
        <v>UA-2022-11-09-012338-a</v>
      </c>
      <c r="C248" s="2" t="str">
        <f>HYPERLINK("https://my.zakupivli.pro/remote/dispatcher/state_contracting_view/14510888", "UA-2022-11-09-012338-a-a1")</f>
        <v>UA-2022-11-09-012338-a-a1</v>
      </c>
      <c r="D248" s="1" t="s">
        <v>208</v>
      </c>
      <c r="E248" s="1" t="s">
        <v>1043</v>
      </c>
      <c r="F248" s="1" t="s">
        <v>1042</v>
      </c>
      <c r="G248" s="1" t="s">
        <v>170</v>
      </c>
      <c r="H248" s="1" t="s">
        <v>894</v>
      </c>
      <c r="I248" s="1" t="s">
        <v>1344</v>
      </c>
      <c r="J248" s="1" t="s">
        <v>293</v>
      </c>
      <c r="K248" s="1" t="s">
        <v>141</v>
      </c>
      <c r="L248" s="5">
        <v>909.12</v>
      </c>
      <c r="M248" s="1" t="s">
        <v>993</v>
      </c>
      <c r="N248" s="6">
        <v>44873</v>
      </c>
      <c r="O248" s="6">
        <v>44926</v>
      </c>
      <c r="P248" s="1" t="s">
        <v>1357</v>
      </c>
    </row>
    <row r="249" spans="1:16" hidden="1" x14ac:dyDescent="0.25">
      <c r="A249" s="4">
        <v>245</v>
      </c>
      <c r="B249" s="2" t="str">
        <f>HYPERLINK("https://my.zakupivli.pro/remote/dispatcher/state_purchase_view/38217616", "UA-2022-10-28-000927-a")</f>
        <v>UA-2022-10-28-000927-a</v>
      </c>
      <c r="C249" s="2" t="str">
        <f>HYPERLINK("https://my.zakupivli.pro/remote/dispatcher/state_contracting_view/14397272", "UA-2022-10-28-000927-a-c1")</f>
        <v>UA-2022-10-28-000927-a-c1</v>
      </c>
      <c r="D249" s="1" t="s">
        <v>97</v>
      </c>
      <c r="E249" s="1" t="s">
        <v>1130</v>
      </c>
      <c r="F249" s="1" t="s">
        <v>1302</v>
      </c>
      <c r="G249" s="1" t="s">
        <v>465</v>
      </c>
      <c r="H249" s="1" t="s">
        <v>894</v>
      </c>
      <c r="I249" s="1" t="s">
        <v>1271</v>
      </c>
      <c r="J249" s="1" t="s">
        <v>318</v>
      </c>
      <c r="K249" s="1" t="s">
        <v>62</v>
      </c>
      <c r="L249" s="5">
        <v>30350</v>
      </c>
      <c r="M249" s="1" t="s">
        <v>993</v>
      </c>
      <c r="N249" s="6">
        <v>44860</v>
      </c>
      <c r="O249" s="6">
        <v>44925</v>
      </c>
      <c r="P249" s="1" t="s">
        <v>1357</v>
      </c>
    </row>
    <row r="250" spans="1:16" hidden="1" x14ac:dyDescent="0.25">
      <c r="A250" s="4">
        <v>246</v>
      </c>
      <c r="B250" s="2" t="str">
        <f>HYPERLINK("https://my.zakupivli.pro/remote/dispatcher/state_purchase_view/38481594", "UA-2022-11-10-009718-a")</f>
        <v>UA-2022-11-10-009718-a</v>
      </c>
      <c r="C250" s="2" t="str">
        <f>HYPERLINK("https://my.zakupivli.pro/remote/dispatcher/state_contracting_view/14521860", "UA-2022-11-10-009718-a-b1")</f>
        <v>UA-2022-11-10-009718-a-b1</v>
      </c>
      <c r="D250" s="1" t="s">
        <v>714</v>
      </c>
      <c r="E250" s="1" t="s">
        <v>1185</v>
      </c>
      <c r="F250" s="1" t="s">
        <v>1184</v>
      </c>
      <c r="G250" s="1" t="s">
        <v>465</v>
      </c>
      <c r="H250" s="1" t="s">
        <v>894</v>
      </c>
      <c r="I250" s="1" t="s">
        <v>1271</v>
      </c>
      <c r="J250" s="1" t="s">
        <v>318</v>
      </c>
      <c r="K250" s="1" t="s">
        <v>255</v>
      </c>
      <c r="L250" s="5">
        <v>13000</v>
      </c>
      <c r="M250" s="1" t="s">
        <v>993</v>
      </c>
      <c r="N250" s="6">
        <v>44873</v>
      </c>
      <c r="O250" s="6">
        <v>44925</v>
      </c>
      <c r="P250" s="1" t="s">
        <v>1357</v>
      </c>
    </row>
    <row r="251" spans="1:16" hidden="1" x14ac:dyDescent="0.25">
      <c r="A251" s="4">
        <v>247</v>
      </c>
      <c r="B251" s="2" t="str">
        <f>HYPERLINK("https://my.zakupivli.pro/remote/dispatcher/state_purchase_view/36205032", "UA-2022-05-25-002829-a")</f>
        <v>UA-2022-05-25-002829-a</v>
      </c>
      <c r="C251" s="2" t="str">
        <f>HYPERLINK("https://my.zakupivli.pro/remote/dispatcher/state_contracting_view/13413632", "UA-2022-05-25-002829-a-b1")</f>
        <v>UA-2022-05-25-002829-a-b1</v>
      </c>
      <c r="D251" s="1" t="s">
        <v>613</v>
      </c>
      <c r="E251" s="1" t="s">
        <v>897</v>
      </c>
      <c r="F251" s="1" t="s">
        <v>846</v>
      </c>
      <c r="G251" s="1" t="s">
        <v>358</v>
      </c>
      <c r="H251" s="1" t="s">
        <v>894</v>
      </c>
      <c r="I251" s="1" t="s">
        <v>1290</v>
      </c>
      <c r="J251" s="1" t="s">
        <v>275</v>
      </c>
      <c r="K251" s="1" t="s">
        <v>254</v>
      </c>
      <c r="L251" s="5">
        <v>414</v>
      </c>
      <c r="M251" s="1" t="s">
        <v>993</v>
      </c>
      <c r="N251" s="6">
        <v>44704</v>
      </c>
      <c r="O251" s="6">
        <v>44923</v>
      </c>
      <c r="P251" s="1" t="s">
        <v>1357</v>
      </c>
    </row>
    <row r="252" spans="1:16" hidden="1" x14ac:dyDescent="0.25">
      <c r="A252" s="4">
        <v>248</v>
      </c>
      <c r="B252" s="2" t="str">
        <f>HYPERLINK("https://my.zakupivli.pro/remote/dispatcher/state_purchase_view/38059346", "UA-2022-10-19-009776-a")</f>
        <v>UA-2022-10-19-009776-a</v>
      </c>
      <c r="C252" s="2" t="str">
        <f>HYPERLINK("https://my.zakupivli.pro/remote/dispatcher/state_contracting_view/14318003", "UA-2022-10-19-009776-a-c1")</f>
        <v>UA-2022-10-19-009776-a-c1</v>
      </c>
      <c r="D252" s="1" t="s">
        <v>336</v>
      </c>
      <c r="E252" s="1" t="s">
        <v>1202</v>
      </c>
      <c r="F252" s="1" t="s">
        <v>1313</v>
      </c>
      <c r="G252" s="1" t="s">
        <v>356</v>
      </c>
      <c r="H252" s="1" t="s">
        <v>894</v>
      </c>
      <c r="I252" s="1" t="s">
        <v>1290</v>
      </c>
      <c r="J252" s="1" t="s">
        <v>275</v>
      </c>
      <c r="K252" s="1" t="s">
        <v>540</v>
      </c>
      <c r="L252" s="5">
        <v>8260</v>
      </c>
      <c r="M252" s="1" t="s">
        <v>993</v>
      </c>
      <c r="N252" s="6">
        <v>44851</v>
      </c>
      <c r="O252" s="6">
        <v>44923</v>
      </c>
      <c r="P252" s="1" t="s">
        <v>1357</v>
      </c>
    </row>
    <row r="253" spans="1:16" hidden="1" x14ac:dyDescent="0.25">
      <c r="A253" s="4">
        <v>249</v>
      </c>
      <c r="B253" s="2" t="str">
        <f>HYPERLINK("https://my.zakupivli.pro/remote/dispatcher/state_purchase_view/38061608", "UA-2022-10-19-010951-a")</f>
        <v>UA-2022-10-19-010951-a</v>
      </c>
      <c r="C253" s="2" t="str">
        <f>HYPERLINK("https://my.zakupivli.pro/remote/dispatcher/state_contracting_view/14318054", "UA-2022-10-19-010951-a-c1")</f>
        <v>UA-2022-10-19-010951-a-c1</v>
      </c>
      <c r="D253" s="1" t="s">
        <v>670</v>
      </c>
      <c r="E253" s="1" t="s">
        <v>1219</v>
      </c>
      <c r="F253" s="1" t="s">
        <v>1220</v>
      </c>
      <c r="G253" s="1" t="s">
        <v>121</v>
      </c>
      <c r="H253" s="1" t="s">
        <v>894</v>
      </c>
      <c r="I253" s="1" t="s">
        <v>1290</v>
      </c>
      <c r="J253" s="1" t="s">
        <v>275</v>
      </c>
      <c r="K253" s="1" t="s">
        <v>540</v>
      </c>
      <c r="L253" s="5">
        <v>975</v>
      </c>
      <c r="M253" s="1" t="s">
        <v>993</v>
      </c>
      <c r="N253" s="6">
        <v>44851</v>
      </c>
      <c r="O253" s="6">
        <v>44923</v>
      </c>
      <c r="P253" s="1" t="s">
        <v>1357</v>
      </c>
    </row>
    <row r="254" spans="1:16" hidden="1" x14ac:dyDescent="0.25">
      <c r="A254" s="4">
        <v>250</v>
      </c>
      <c r="B254" s="2" t="str">
        <f>HYPERLINK("https://my.zakupivli.pro/remote/dispatcher/state_purchase_view/38062107", "UA-2022-10-19-011204-a")</f>
        <v>UA-2022-10-19-011204-a</v>
      </c>
      <c r="C254" s="2" t="str">
        <f>HYPERLINK("https://my.zakupivli.pro/remote/dispatcher/state_contracting_view/14318097", "UA-2022-10-19-011204-a-c1")</f>
        <v>UA-2022-10-19-011204-a-c1</v>
      </c>
      <c r="D254" s="1" t="s">
        <v>786</v>
      </c>
      <c r="E254" s="1" t="s">
        <v>896</v>
      </c>
      <c r="F254" s="1" t="s">
        <v>903</v>
      </c>
      <c r="G254" s="1" t="s">
        <v>301</v>
      </c>
      <c r="H254" s="1" t="s">
        <v>894</v>
      </c>
      <c r="I254" s="1" t="s">
        <v>1290</v>
      </c>
      <c r="J254" s="1" t="s">
        <v>275</v>
      </c>
      <c r="K254" s="1" t="s">
        <v>588</v>
      </c>
      <c r="L254" s="5">
        <v>1090</v>
      </c>
      <c r="M254" s="1" t="s">
        <v>993</v>
      </c>
      <c r="N254" s="6">
        <v>44851</v>
      </c>
      <c r="O254" s="6">
        <v>44923</v>
      </c>
      <c r="P254" s="1" t="s">
        <v>1357</v>
      </c>
    </row>
    <row r="255" spans="1:16" hidden="1" x14ac:dyDescent="0.25">
      <c r="A255" s="4">
        <v>251</v>
      </c>
      <c r="B255" s="2" t="str">
        <f>HYPERLINK("https://my.zakupivli.pro/remote/dispatcher/state_purchase_view/36205133", "UA-2022-05-25-002911-a")</f>
        <v>UA-2022-05-25-002911-a</v>
      </c>
      <c r="C255" s="2" t="str">
        <f>HYPERLINK("https://my.zakupivli.pro/remote/dispatcher/state_contracting_view/13413644", "UA-2022-05-25-002911-a-b1")</f>
        <v>UA-2022-05-25-002911-a-b1</v>
      </c>
      <c r="D255" s="1" t="s">
        <v>462</v>
      </c>
      <c r="E255" s="1" t="s">
        <v>1072</v>
      </c>
      <c r="F255" s="1" t="s">
        <v>973</v>
      </c>
      <c r="G255" s="1" t="s">
        <v>132</v>
      </c>
      <c r="H255" s="1" t="s">
        <v>894</v>
      </c>
      <c r="I255" s="1" t="s">
        <v>1290</v>
      </c>
      <c r="J255" s="1" t="s">
        <v>275</v>
      </c>
      <c r="K255" s="1" t="s">
        <v>254</v>
      </c>
      <c r="L255" s="5">
        <v>1071</v>
      </c>
      <c r="M255" s="1" t="s">
        <v>993</v>
      </c>
      <c r="N255" s="6">
        <v>44704</v>
      </c>
      <c r="O255" s="6">
        <v>44923</v>
      </c>
      <c r="P255" s="1" t="s">
        <v>1357</v>
      </c>
    </row>
    <row r="256" spans="1:16" hidden="1" x14ac:dyDescent="0.25">
      <c r="A256" s="4">
        <v>252</v>
      </c>
      <c r="B256" s="2" t="str">
        <f>HYPERLINK("https://my.zakupivli.pro/remote/dispatcher/state_purchase_view/37239533", "UA-2022-08-26-005472-a")</f>
        <v>UA-2022-08-26-005472-a</v>
      </c>
      <c r="C256" s="2" t="str">
        <f>HYPERLINK("https://my.zakupivli.pro/remote/dispatcher/state_contracting_view/13915301", "UA-2022-08-26-005472-a-b1")</f>
        <v>UA-2022-08-26-005472-a-b1</v>
      </c>
      <c r="D256" s="1" t="s">
        <v>789</v>
      </c>
      <c r="E256" s="1" t="s">
        <v>1202</v>
      </c>
      <c r="F256" s="1" t="s">
        <v>846</v>
      </c>
      <c r="G256" s="1" t="s">
        <v>356</v>
      </c>
      <c r="H256" s="1" t="s">
        <v>894</v>
      </c>
      <c r="I256" s="1" t="s">
        <v>1290</v>
      </c>
      <c r="J256" s="1" t="s">
        <v>275</v>
      </c>
      <c r="K256" s="1" t="s">
        <v>508</v>
      </c>
      <c r="L256" s="5">
        <v>460</v>
      </c>
      <c r="M256" s="1" t="s">
        <v>993</v>
      </c>
      <c r="N256" s="6">
        <v>44795</v>
      </c>
      <c r="O256" s="6">
        <v>44923</v>
      </c>
      <c r="P256" s="1" t="s">
        <v>1357</v>
      </c>
    </row>
    <row r="257" spans="1:16" hidden="1" x14ac:dyDescent="0.25">
      <c r="A257" s="4">
        <v>253</v>
      </c>
      <c r="B257" s="2" t="str">
        <f>HYPERLINK("https://my.zakupivli.pro/remote/dispatcher/state_purchase_view/37238635", "UA-2022-08-26-004975-a")</f>
        <v>UA-2022-08-26-004975-a</v>
      </c>
      <c r="C257" s="2" t="str">
        <f>HYPERLINK("https://my.zakupivli.pro/remote/dispatcher/state_contracting_view/13914203", "UA-2022-08-26-004975-a-b1")</f>
        <v>UA-2022-08-26-004975-a-b1</v>
      </c>
      <c r="D257" s="1" t="s">
        <v>633</v>
      </c>
      <c r="E257" s="1" t="s">
        <v>828</v>
      </c>
      <c r="F257" s="1" t="s">
        <v>905</v>
      </c>
      <c r="G257" s="1" t="s">
        <v>301</v>
      </c>
      <c r="H257" s="1" t="s">
        <v>894</v>
      </c>
      <c r="I257" s="1" t="s">
        <v>1290</v>
      </c>
      <c r="J257" s="1" t="s">
        <v>275</v>
      </c>
      <c r="K257" s="1" t="s">
        <v>456</v>
      </c>
      <c r="L257" s="5">
        <v>8910</v>
      </c>
      <c r="M257" s="1" t="s">
        <v>993</v>
      </c>
      <c r="N257" s="6">
        <v>44795</v>
      </c>
      <c r="O257" s="6">
        <v>44923</v>
      </c>
      <c r="P257" s="1" t="s">
        <v>1357</v>
      </c>
    </row>
    <row r="258" spans="1:16" hidden="1" x14ac:dyDescent="0.25">
      <c r="A258" s="4">
        <v>254</v>
      </c>
      <c r="B258" s="2" t="str">
        <f>HYPERLINK("https://my.zakupivli.pro/remote/dispatcher/state_purchase_view/36205243", "UA-2022-05-25-002956-a")</f>
        <v>UA-2022-05-25-002956-a</v>
      </c>
      <c r="C258" s="2" t="str">
        <f>HYPERLINK("https://my.zakupivli.pro/remote/dispatcher/state_contracting_view/13413657", "UA-2022-05-25-002956-a-b1")</f>
        <v>UA-2022-05-25-002956-a-b1</v>
      </c>
      <c r="D258" s="1" t="s">
        <v>572</v>
      </c>
      <c r="E258" s="1" t="s">
        <v>827</v>
      </c>
      <c r="F258" s="1" t="s">
        <v>904</v>
      </c>
      <c r="G258" s="1" t="s">
        <v>301</v>
      </c>
      <c r="H258" s="1" t="s">
        <v>894</v>
      </c>
      <c r="I258" s="1" t="s">
        <v>1290</v>
      </c>
      <c r="J258" s="1" t="s">
        <v>275</v>
      </c>
      <c r="K258" s="1" t="s">
        <v>254</v>
      </c>
      <c r="L258" s="5">
        <v>1512</v>
      </c>
      <c r="M258" s="1" t="s">
        <v>993</v>
      </c>
      <c r="N258" s="6">
        <v>44704</v>
      </c>
      <c r="O258" s="6">
        <v>44923</v>
      </c>
      <c r="P258" s="1" t="s">
        <v>1357</v>
      </c>
    </row>
    <row r="259" spans="1:16" hidden="1" x14ac:dyDescent="0.25">
      <c r="A259" s="4">
        <v>255</v>
      </c>
      <c r="B259" s="2" t="str">
        <f>HYPERLINK("https://my.zakupivli.pro/remote/dispatcher/state_purchase_view/36324976", "UA-2022-06-08-005999-a")</f>
        <v>UA-2022-06-08-005999-a</v>
      </c>
      <c r="C259" s="2" t="str">
        <f>HYPERLINK("https://my.zakupivli.pro/remote/dispatcher/state_contracting_view/13483269", "UA-2022-06-08-005999-a-b1")</f>
        <v>UA-2022-06-08-005999-a-b1</v>
      </c>
      <c r="D259" s="1" t="s">
        <v>58</v>
      </c>
      <c r="E259" s="1" t="s">
        <v>1353</v>
      </c>
      <c r="F259" s="1" t="s">
        <v>1353</v>
      </c>
      <c r="G259" s="1" t="s">
        <v>409</v>
      </c>
      <c r="H259" s="1" t="s">
        <v>894</v>
      </c>
      <c r="I259" s="1" t="s">
        <v>1290</v>
      </c>
      <c r="J259" s="1" t="s">
        <v>275</v>
      </c>
      <c r="K259" s="1" t="s">
        <v>508</v>
      </c>
      <c r="L259" s="5">
        <v>731</v>
      </c>
      <c r="M259" s="1" t="s">
        <v>993</v>
      </c>
      <c r="N259" s="6">
        <v>44720</v>
      </c>
      <c r="O259" s="6">
        <v>44923</v>
      </c>
      <c r="P259" s="1" t="s">
        <v>1357</v>
      </c>
    </row>
    <row r="260" spans="1:16" hidden="1" x14ac:dyDescent="0.25">
      <c r="A260" s="4">
        <v>256</v>
      </c>
      <c r="B260" s="2" t="str">
        <f>HYPERLINK("https://my.zakupivli.pro/remote/dispatcher/state_purchase_view/38061090", "UA-2022-10-19-010692-a")</f>
        <v>UA-2022-10-19-010692-a</v>
      </c>
      <c r="C260" s="2" t="str">
        <f>HYPERLINK("https://my.zakupivli.pro/remote/dispatcher/state_contracting_view/14318060", "UA-2022-10-19-010692-a-b1")</f>
        <v>UA-2022-10-19-010692-a-b1</v>
      </c>
      <c r="D260" s="1" t="s">
        <v>781</v>
      </c>
      <c r="E260" s="1" t="s">
        <v>973</v>
      </c>
      <c r="F260" s="1" t="s">
        <v>973</v>
      </c>
      <c r="G260" s="1" t="s">
        <v>132</v>
      </c>
      <c r="H260" s="1" t="s">
        <v>894</v>
      </c>
      <c r="I260" s="1" t="s">
        <v>1290</v>
      </c>
      <c r="J260" s="1" t="s">
        <v>275</v>
      </c>
      <c r="K260" s="1" t="s">
        <v>540</v>
      </c>
      <c r="L260" s="5">
        <v>2790</v>
      </c>
      <c r="M260" s="1" t="s">
        <v>993</v>
      </c>
      <c r="N260" s="6">
        <v>44851</v>
      </c>
      <c r="O260" s="6">
        <v>44923</v>
      </c>
      <c r="P260" s="1" t="s">
        <v>1357</v>
      </c>
    </row>
    <row r="261" spans="1:16" hidden="1" x14ac:dyDescent="0.25">
      <c r="A261" s="4">
        <v>257</v>
      </c>
      <c r="B261" s="2" t="str">
        <f>HYPERLINK("https://my.zakupivli.pro/remote/dispatcher/state_purchase_view/36325184", "UA-2022-06-08-006122-a")</f>
        <v>UA-2022-06-08-006122-a</v>
      </c>
      <c r="C261" s="2" t="str">
        <f>HYPERLINK("https://my.zakupivli.pro/remote/dispatcher/state_contracting_view/13483182", "UA-2022-06-08-006122-a-b1")</f>
        <v>UA-2022-06-08-006122-a-b1</v>
      </c>
      <c r="D261" s="1" t="s">
        <v>555</v>
      </c>
      <c r="E261" s="1" t="s">
        <v>945</v>
      </c>
      <c r="F261" s="1" t="s">
        <v>946</v>
      </c>
      <c r="G261" s="1" t="s">
        <v>196</v>
      </c>
      <c r="H261" s="1" t="s">
        <v>894</v>
      </c>
      <c r="I261" s="1" t="s">
        <v>1290</v>
      </c>
      <c r="J261" s="1" t="s">
        <v>275</v>
      </c>
      <c r="K261" s="1" t="s">
        <v>508</v>
      </c>
      <c r="L261" s="5">
        <v>364</v>
      </c>
      <c r="M261" s="1" t="s">
        <v>993</v>
      </c>
      <c r="N261" s="6">
        <v>44720</v>
      </c>
      <c r="O261" s="6">
        <v>44923</v>
      </c>
      <c r="P261" s="1" t="s">
        <v>1357</v>
      </c>
    </row>
    <row r="262" spans="1:16" hidden="1" x14ac:dyDescent="0.25">
      <c r="A262" s="4">
        <v>258</v>
      </c>
      <c r="B262" s="2" t="str">
        <f>HYPERLINK("https://my.zakupivli.pro/remote/dispatcher/state_purchase_view/36324385", "UA-2022-06-08-005661-a")</f>
        <v>UA-2022-06-08-005661-a</v>
      </c>
      <c r="C262" s="2" t="str">
        <f>HYPERLINK("https://my.zakupivli.pro/remote/dispatcher/state_contracting_view/13483251", "UA-2022-06-08-005661-a-b1")</f>
        <v>UA-2022-06-08-005661-a-b1</v>
      </c>
      <c r="D262" s="1" t="s">
        <v>581</v>
      </c>
      <c r="E262" s="1" t="s">
        <v>1338</v>
      </c>
      <c r="F262" s="1" t="s">
        <v>1339</v>
      </c>
      <c r="G262" s="1" t="s">
        <v>408</v>
      </c>
      <c r="H262" s="1" t="s">
        <v>894</v>
      </c>
      <c r="I262" s="1" t="s">
        <v>1290</v>
      </c>
      <c r="J262" s="1" t="s">
        <v>275</v>
      </c>
      <c r="K262" s="1" t="s">
        <v>508</v>
      </c>
      <c r="L262" s="5">
        <v>2145</v>
      </c>
      <c r="M262" s="1" t="s">
        <v>993</v>
      </c>
      <c r="N262" s="6">
        <v>44720</v>
      </c>
      <c r="O262" s="6">
        <v>44923</v>
      </c>
      <c r="P262" s="1" t="s">
        <v>1357</v>
      </c>
    </row>
    <row r="263" spans="1:16" hidden="1" x14ac:dyDescent="0.25">
      <c r="A263" s="4">
        <v>259</v>
      </c>
      <c r="B263" s="2" t="str">
        <f>HYPERLINK("https://my.zakupivli.pro/remote/dispatcher/state_purchase_view/38610396", "UA-2022-11-16-010778-a")</f>
        <v>UA-2022-11-16-010778-a</v>
      </c>
      <c r="C263" s="2" t="str">
        <f>HYPERLINK("https://my.zakupivli.pro/remote/dispatcher/state_contracting_view/14581618", "UA-2022-11-16-010778-a-c1")</f>
        <v>UA-2022-11-16-010778-a-c1</v>
      </c>
      <c r="D263" s="1" t="s">
        <v>758</v>
      </c>
      <c r="E263" s="1" t="s">
        <v>1108</v>
      </c>
      <c r="F263" s="1" t="s">
        <v>1181</v>
      </c>
      <c r="G263" s="1" t="s">
        <v>473</v>
      </c>
      <c r="H263" s="1" t="s">
        <v>894</v>
      </c>
      <c r="I263" s="1" t="s">
        <v>1266</v>
      </c>
      <c r="J263" s="1" t="s">
        <v>395</v>
      </c>
      <c r="K263" s="1" t="s">
        <v>211</v>
      </c>
      <c r="L263" s="5">
        <v>29909.78</v>
      </c>
      <c r="M263" s="1" t="s">
        <v>1293</v>
      </c>
      <c r="N263" s="6">
        <v>44873</v>
      </c>
      <c r="O263" s="6">
        <v>44916</v>
      </c>
      <c r="P263" s="1" t="s">
        <v>1357</v>
      </c>
    </row>
    <row r="264" spans="1:16" hidden="1" x14ac:dyDescent="0.25">
      <c r="A264" s="4">
        <v>260</v>
      </c>
      <c r="B264" s="2" t="str">
        <f>HYPERLINK("https://my.zakupivli.pro/remote/dispatcher/state_purchase_view/32708516", "UA-2021-12-07-012846-c")</f>
        <v>UA-2021-12-07-012846-c</v>
      </c>
      <c r="C264" s="2" t="str">
        <f>HYPERLINK("https://my.zakupivli.pro/remote/dispatcher/state_contracting_view/11746605", "UA-2021-12-07-012846-c-c1")</f>
        <v>UA-2021-12-07-012846-c-c1</v>
      </c>
      <c r="D264" s="1" t="s">
        <v>713</v>
      </c>
      <c r="E264" s="1" t="s">
        <v>1245</v>
      </c>
      <c r="F264" s="1" t="s">
        <v>1245</v>
      </c>
      <c r="G264" s="1" t="s">
        <v>525</v>
      </c>
      <c r="H264" s="1" t="s">
        <v>894</v>
      </c>
      <c r="I264" s="1" t="s">
        <v>1023</v>
      </c>
      <c r="J264" s="1" t="s">
        <v>149</v>
      </c>
      <c r="K264" s="1" t="s">
        <v>15</v>
      </c>
      <c r="L264" s="5">
        <v>1605.83</v>
      </c>
      <c r="M264" s="1" t="s">
        <v>993</v>
      </c>
      <c r="N264" s="6">
        <v>44537</v>
      </c>
      <c r="O264" s="6">
        <v>44901</v>
      </c>
      <c r="P264" s="1" t="s">
        <v>1357</v>
      </c>
    </row>
    <row r="265" spans="1:16" hidden="1" x14ac:dyDescent="0.25">
      <c r="A265" s="4">
        <v>261</v>
      </c>
      <c r="B265" s="2" t="str">
        <f>HYPERLINK("https://my.zakupivli.pro/remote/dispatcher/state_purchase_view/35504177", "UA-2022-02-24-001596-a")</f>
        <v>UA-2022-02-24-001596-a</v>
      </c>
      <c r="C265" s="2" t="str">
        <f>HYPERLINK("https://my.zakupivli.pro/remote/dispatcher/state_contracting_view/13045346", "UA-2022-02-24-001596-a-a1")</f>
        <v>UA-2022-02-24-001596-a-a1</v>
      </c>
      <c r="D265" s="1" t="s">
        <v>601</v>
      </c>
      <c r="E265" s="1" t="s">
        <v>1072</v>
      </c>
      <c r="F265" s="1" t="s">
        <v>1072</v>
      </c>
      <c r="G265" s="1" t="s">
        <v>132</v>
      </c>
      <c r="H265" s="1" t="s">
        <v>894</v>
      </c>
      <c r="I265" s="1" t="s">
        <v>1290</v>
      </c>
      <c r="J265" s="1" t="s">
        <v>275</v>
      </c>
      <c r="K265" s="1" t="s">
        <v>140</v>
      </c>
      <c r="L265" s="5">
        <v>736</v>
      </c>
      <c r="M265" s="1" t="s">
        <v>993</v>
      </c>
      <c r="N265" s="6">
        <v>44615</v>
      </c>
      <c r="O265" s="6">
        <v>44620</v>
      </c>
      <c r="P265" s="1" t="s">
        <v>1357</v>
      </c>
    </row>
    <row r="266" spans="1:16" hidden="1" x14ac:dyDescent="0.25">
      <c r="A266" s="4">
        <v>262</v>
      </c>
      <c r="B266" s="2" t="str">
        <f>HYPERLINK("https://my.zakupivli.pro/remote/dispatcher/state_purchase_view/35504413", "UA-2022-02-24-001648-a")</f>
        <v>UA-2022-02-24-001648-a</v>
      </c>
      <c r="C266" s="2" t="str">
        <f>HYPERLINK("https://my.zakupivli.pro/remote/dispatcher/state_contracting_view/13045398", "UA-2022-02-24-001648-a-a1")</f>
        <v>UA-2022-02-24-001648-a-a1</v>
      </c>
      <c r="D266" s="1" t="s">
        <v>778</v>
      </c>
      <c r="E266" s="1" t="s">
        <v>967</v>
      </c>
      <c r="F266" s="1" t="s">
        <v>958</v>
      </c>
      <c r="G266" s="1" t="s">
        <v>302</v>
      </c>
      <c r="H266" s="1" t="s">
        <v>894</v>
      </c>
      <c r="I266" s="1" t="s">
        <v>1290</v>
      </c>
      <c r="J266" s="1" t="s">
        <v>275</v>
      </c>
      <c r="K266" s="1" t="s">
        <v>140</v>
      </c>
      <c r="L266" s="5">
        <v>117</v>
      </c>
      <c r="M266" s="1" t="s">
        <v>993</v>
      </c>
      <c r="N266" s="6">
        <v>44615</v>
      </c>
      <c r="O266" s="6">
        <v>44620</v>
      </c>
      <c r="P266" s="1" t="s">
        <v>1357</v>
      </c>
    </row>
    <row r="267" spans="1:16" hidden="1" x14ac:dyDescent="0.25">
      <c r="A267" s="4">
        <v>263</v>
      </c>
      <c r="B267" s="2" t="str">
        <f>HYPERLINK("https://my.zakupivli.pro/remote/dispatcher/state_purchase_view/35503836", "UA-2022-02-24-001495-a")</f>
        <v>UA-2022-02-24-001495-a</v>
      </c>
      <c r="C267" s="2" t="str">
        <f>HYPERLINK("https://my.zakupivli.pro/remote/dispatcher/state_contracting_view/13045075", "UA-2022-02-24-001495-a-a1")</f>
        <v>UA-2022-02-24-001495-a-a1</v>
      </c>
      <c r="D267" s="1" t="s">
        <v>445</v>
      </c>
      <c r="E267" s="1" t="s">
        <v>826</v>
      </c>
      <c r="F267" s="1" t="s">
        <v>826</v>
      </c>
      <c r="G267" s="1" t="s">
        <v>303</v>
      </c>
      <c r="H267" s="1" t="s">
        <v>894</v>
      </c>
      <c r="I267" s="1" t="s">
        <v>1290</v>
      </c>
      <c r="J267" s="1" t="s">
        <v>275</v>
      </c>
      <c r="K267" s="1" t="s">
        <v>140</v>
      </c>
      <c r="L267" s="5">
        <v>677</v>
      </c>
      <c r="M267" s="1" t="s">
        <v>993</v>
      </c>
      <c r="N267" s="6">
        <v>44615</v>
      </c>
      <c r="O267" s="6">
        <v>44620</v>
      </c>
      <c r="P267" s="1" t="s">
        <v>1357</v>
      </c>
    </row>
    <row r="268" spans="1:16" hidden="1" x14ac:dyDescent="0.25">
      <c r="A268" s="4">
        <v>264</v>
      </c>
      <c r="B268" s="2" t="str">
        <f>HYPERLINK("https://my.zakupivli.pro/remote/dispatcher/state_purchase_view/35503944", "UA-2022-02-24-001545-a")</f>
        <v>UA-2022-02-24-001545-a</v>
      </c>
      <c r="C268" s="2" t="str">
        <f>HYPERLINK("https://my.zakupivli.pro/remote/dispatcher/state_contracting_view/13045127", "UA-2022-02-24-001545-a-a1")</f>
        <v>UA-2022-02-24-001545-a-a1</v>
      </c>
      <c r="D268" s="1" t="s">
        <v>655</v>
      </c>
      <c r="E268" s="1" t="s">
        <v>897</v>
      </c>
      <c r="F268" s="1" t="s">
        <v>897</v>
      </c>
      <c r="G268" s="1" t="s">
        <v>358</v>
      </c>
      <c r="H268" s="1" t="s">
        <v>894</v>
      </c>
      <c r="I268" s="1" t="s">
        <v>1290</v>
      </c>
      <c r="J268" s="1" t="s">
        <v>275</v>
      </c>
      <c r="K268" s="1" t="s">
        <v>140</v>
      </c>
      <c r="L268" s="5">
        <v>465</v>
      </c>
      <c r="M268" s="1" t="s">
        <v>993</v>
      </c>
      <c r="N268" s="6">
        <v>44615</v>
      </c>
      <c r="O268" s="6">
        <v>44620</v>
      </c>
      <c r="P268" s="1" t="s">
        <v>1357</v>
      </c>
    </row>
    <row r="269" spans="1:16" hidden="1" x14ac:dyDescent="0.25">
      <c r="A269" s="4">
        <v>265</v>
      </c>
      <c r="B269" s="2" t="str">
        <f>HYPERLINK("https://my.zakupivli.pro/remote/dispatcher/state_purchase_view/30052964", "UA-2021-09-21-003857-b")</f>
        <v>UA-2021-09-21-003857-b</v>
      </c>
      <c r="C269" s="2" t="str">
        <f>HYPERLINK("https://my.zakupivli.pro/remote/dispatcher/state_contracting_view/10524716", "UA-2021-09-21-003857-b-b1")</f>
        <v>UA-2021-09-21-003857-b-b1</v>
      </c>
      <c r="D269" s="1" t="s">
        <v>683</v>
      </c>
      <c r="E269" s="1" t="s">
        <v>985</v>
      </c>
      <c r="F269" s="1" t="s">
        <v>985</v>
      </c>
      <c r="G269" s="1" t="s">
        <v>595</v>
      </c>
      <c r="H269" s="1" t="s">
        <v>894</v>
      </c>
      <c r="I269" s="1" t="s">
        <v>1268</v>
      </c>
      <c r="J269" s="1" t="s">
        <v>391</v>
      </c>
      <c r="K269" s="1" t="s">
        <v>593</v>
      </c>
      <c r="L269" s="5">
        <v>1800</v>
      </c>
      <c r="M269" s="1" t="s">
        <v>993</v>
      </c>
      <c r="N269" s="6">
        <v>44460</v>
      </c>
      <c r="O269" s="6">
        <v>44561</v>
      </c>
      <c r="P269" s="1" t="s">
        <v>1357</v>
      </c>
    </row>
    <row r="270" spans="1:16" hidden="1" x14ac:dyDescent="0.25">
      <c r="A270" s="4">
        <v>266</v>
      </c>
      <c r="B270" s="2" t="str">
        <f>HYPERLINK("https://my.zakupivli.pro/remote/dispatcher/state_purchase_view/32147129", "UA-2021-11-24-002394-a")</f>
        <v>UA-2021-11-24-002394-a</v>
      </c>
      <c r="C270" s="2" t="str">
        <f>HYPERLINK("https://my.zakupivli.pro/remote/dispatcher/state_contracting_view/11488212", "UA-2021-11-24-002394-a-a1")</f>
        <v>UA-2021-11-24-002394-a-a1</v>
      </c>
      <c r="D270" s="1" t="s">
        <v>638</v>
      </c>
      <c r="E270" s="1" t="s">
        <v>1041</v>
      </c>
      <c r="F270" s="1" t="s">
        <v>1041</v>
      </c>
      <c r="G270" s="1" t="s">
        <v>169</v>
      </c>
      <c r="H270" s="1" t="s">
        <v>894</v>
      </c>
      <c r="I270" s="1" t="s">
        <v>962</v>
      </c>
      <c r="J270" s="1" t="s">
        <v>239</v>
      </c>
      <c r="K270" s="1" t="s">
        <v>157</v>
      </c>
      <c r="L270" s="5">
        <v>3980</v>
      </c>
      <c r="M270" s="1" t="s">
        <v>1293</v>
      </c>
      <c r="N270" s="6">
        <v>44524</v>
      </c>
      <c r="O270" s="6">
        <v>44561</v>
      </c>
      <c r="P270" s="1" t="s">
        <v>1357</v>
      </c>
    </row>
    <row r="271" spans="1:16" hidden="1" x14ac:dyDescent="0.25">
      <c r="A271" s="4">
        <v>267</v>
      </c>
      <c r="B271" s="2" t="str">
        <f>HYPERLINK("https://my.zakupivli.pro/remote/dispatcher/state_purchase_view/29280212", "UA-2021-08-26-008047-a")</f>
        <v>UA-2021-08-26-008047-a</v>
      </c>
      <c r="C271" s="2" t="str">
        <f>HYPERLINK("https://my.zakupivli.pro/remote/dispatcher/state_contracting_view/10167195", "UA-2021-08-26-008047-a-a1")</f>
        <v>UA-2021-08-26-008047-a-a1</v>
      </c>
      <c r="D271" s="1" t="s">
        <v>564</v>
      </c>
      <c r="E271" s="1" t="s">
        <v>1082</v>
      </c>
      <c r="F271" s="1" t="s">
        <v>1082</v>
      </c>
      <c r="G271" s="1" t="s">
        <v>552</v>
      </c>
      <c r="H271" s="1" t="s">
        <v>894</v>
      </c>
      <c r="I271" s="1" t="s">
        <v>1283</v>
      </c>
      <c r="J271" s="1" t="s">
        <v>322</v>
      </c>
      <c r="K271" s="1" t="s">
        <v>307</v>
      </c>
      <c r="L271" s="5">
        <v>498</v>
      </c>
      <c r="M271" s="1" t="s">
        <v>993</v>
      </c>
      <c r="N271" s="6">
        <v>44433</v>
      </c>
      <c r="O271" s="6">
        <v>44561</v>
      </c>
      <c r="P271" s="1" t="s">
        <v>1357</v>
      </c>
    </row>
    <row r="272" spans="1:16" hidden="1" x14ac:dyDescent="0.25">
      <c r="A272" s="4">
        <v>268</v>
      </c>
      <c r="B272" s="2" t="str">
        <f>HYPERLINK("https://my.zakupivli.pro/remote/dispatcher/state_purchase_view/23138868", "UA-2021-01-22-000245-b")</f>
        <v>UA-2021-01-22-000245-b</v>
      </c>
      <c r="C272" s="2" t="str">
        <f>HYPERLINK("https://my.zakupivli.pro/remote/dispatcher/state_contracting_view/7291559", "UA-2021-01-22-000245-b-b1")</f>
        <v>UA-2021-01-22-000245-b-b1</v>
      </c>
      <c r="D272" s="1" t="s">
        <v>28</v>
      </c>
      <c r="E272" s="1" t="s">
        <v>8</v>
      </c>
      <c r="F272" s="1" t="s">
        <v>8</v>
      </c>
      <c r="G272" s="1" t="s">
        <v>521</v>
      </c>
      <c r="H272" s="1" t="s">
        <v>894</v>
      </c>
      <c r="I272" s="1" t="s">
        <v>920</v>
      </c>
      <c r="J272" s="1" t="s">
        <v>37</v>
      </c>
      <c r="K272" s="1" t="s">
        <v>625</v>
      </c>
      <c r="L272" s="5">
        <v>4715.17</v>
      </c>
      <c r="M272" s="1" t="s">
        <v>1293</v>
      </c>
      <c r="N272" s="6">
        <v>44217</v>
      </c>
      <c r="O272" s="6">
        <v>44561</v>
      </c>
      <c r="P272" s="1" t="s">
        <v>1357</v>
      </c>
    </row>
    <row r="273" spans="1:16" hidden="1" x14ac:dyDescent="0.25">
      <c r="A273" s="4">
        <v>269</v>
      </c>
      <c r="B273" s="2" t="str">
        <f>HYPERLINK("https://my.zakupivli.pro/remote/dispatcher/state_purchase_view/25734927", "UA-2021-04-12-003837-b")</f>
        <v>UA-2021-04-12-003837-b</v>
      </c>
      <c r="C273" s="2" t="str">
        <f>HYPERLINK("https://my.zakupivli.pro/remote/dispatcher/state_contracting_view/8487637", "UA-2021-04-12-003837-b-b1")</f>
        <v>UA-2021-04-12-003837-b-b1</v>
      </c>
      <c r="D273" s="1" t="s">
        <v>691</v>
      </c>
      <c r="E273" s="1" t="s">
        <v>1170</v>
      </c>
      <c r="F273" s="1" t="s">
        <v>1170</v>
      </c>
      <c r="G273" s="1" t="s">
        <v>551</v>
      </c>
      <c r="H273" s="1" t="s">
        <v>894</v>
      </c>
      <c r="I273" s="1" t="s">
        <v>830</v>
      </c>
      <c r="J273" s="1" t="s">
        <v>232</v>
      </c>
      <c r="K273" s="1" t="s">
        <v>107</v>
      </c>
      <c r="L273" s="5">
        <v>18000</v>
      </c>
      <c r="M273" s="1" t="s">
        <v>993</v>
      </c>
      <c r="N273" s="6">
        <v>44298</v>
      </c>
      <c r="O273" s="6">
        <v>44561</v>
      </c>
      <c r="P273" s="1" t="s">
        <v>1357</v>
      </c>
    </row>
    <row r="274" spans="1:16" hidden="1" x14ac:dyDescent="0.25">
      <c r="A274" s="4">
        <v>270</v>
      </c>
      <c r="B274" s="2" t="str">
        <f>HYPERLINK("https://my.zakupivli.pro/remote/dispatcher/state_purchase_view/25817206", "UA-2021-04-14-006948-b")</f>
        <v>UA-2021-04-14-006948-b</v>
      </c>
      <c r="C274" s="2" t="str">
        <f>HYPERLINK("https://my.zakupivli.pro/remote/dispatcher/state_contracting_view/8526341", "UA-2021-04-14-006948-b-b1")</f>
        <v>UA-2021-04-14-006948-b-b1</v>
      </c>
      <c r="D274" s="1" t="s">
        <v>111</v>
      </c>
      <c r="E274" s="1" t="s">
        <v>851</v>
      </c>
      <c r="F274" s="1" t="s">
        <v>848</v>
      </c>
      <c r="G274" s="1" t="s">
        <v>634</v>
      </c>
      <c r="H274" s="1" t="s">
        <v>894</v>
      </c>
      <c r="I274" s="1" t="s">
        <v>803</v>
      </c>
      <c r="J274" s="1" t="s">
        <v>166</v>
      </c>
      <c r="K274" s="1" t="s">
        <v>368</v>
      </c>
      <c r="L274" s="5">
        <v>20000</v>
      </c>
      <c r="M274" s="1" t="s">
        <v>993</v>
      </c>
      <c r="N274" s="6">
        <v>44300</v>
      </c>
      <c r="O274" s="6">
        <v>44561</v>
      </c>
      <c r="P274" s="1" t="s">
        <v>1357</v>
      </c>
    </row>
    <row r="275" spans="1:16" hidden="1" x14ac:dyDescent="0.25">
      <c r="A275" s="4">
        <v>271</v>
      </c>
      <c r="B275" s="2" t="str">
        <f>HYPERLINK("https://my.zakupivli.pro/remote/dispatcher/state_purchase_view/23212298", "UA-2021-01-25-003228-b")</f>
        <v>UA-2021-01-25-003228-b</v>
      </c>
      <c r="C275" s="2" t="str">
        <f>HYPERLINK("https://my.zakupivli.pro/remote/dispatcher/state_contracting_view/7315667", "UA-2021-01-25-003228-b-b1")</f>
        <v>UA-2021-01-25-003228-b-b1</v>
      </c>
      <c r="D275" s="1" t="s">
        <v>448</v>
      </c>
      <c r="E275" s="1" t="s">
        <v>1349</v>
      </c>
      <c r="F275" s="1" t="s">
        <v>1349</v>
      </c>
      <c r="G275" s="1" t="s">
        <v>469</v>
      </c>
      <c r="H275" s="1" t="s">
        <v>894</v>
      </c>
      <c r="I275" s="1" t="s">
        <v>1032</v>
      </c>
      <c r="J275" s="1" t="s">
        <v>330</v>
      </c>
      <c r="K275" s="1" t="s">
        <v>426</v>
      </c>
      <c r="L275" s="5">
        <v>7200</v>
      </c>
      <c r="M275" s="1" t="s">
        <v>1293</v>
      </c>
      <c r="N275" s="6">
        <v>44221</v>
      </c>
      <c r="O275" s="6">
        <v>44561</v>
      </c>
      <c r="P275" s="1" t="s">
        <v>1357</v>
      </c>
    </row>
    <row r="276" spans="1:16" hidden="1" x14ac:dyDescent="0.25">
      <c r="A276" s="4">
        <v>272</v>
      </c>
      <c r="B276" s="2" t="str">
        <f>HYPERLINK("https://my.zakupivli.pro/remote/dispatcher/state_purchase_view/26148964", "UA-2021-04-26-006836-a")</f>
        <v>UA-2021-04-26-006836-a</v>
      </c>
      <c r="C276" s="2" t="str">
        <f>HYPERLINK("https://my.zakupivli.pro/remote/dispatcher/state_contracting_view/8685191", "UA-2021-04-26-006836-a-a1")</f>
        <v>UA-2021-04-26-006836-a-a1</v>
      </c>
      <c r="D276" s="1" t="s">
        <v>26</v>
      </c>
      <c r="E276" s="1" t="s">
        <v>811</v>
      </c>
      <c r="F276" s="1" t="s">
        <v>811</v>
      </c>
      <c r="G276" s="1" t="s">
        <v>575</v>
      </c>
      <c r="H276" s="1" t="s">
        <v>894</v>
      </c>
      <c r="I276" s="1" t="s">
        <v>1016</v>
      </c>
      <c r="J276" s="1" t="s">
        <v>32</v>
      </c>
      <c r="K276" s="1" t="s">
        <v>623</v>
      </c>
      <c r="L276" s="5">
        <v>3600</v>
      </c>
      <c r="M276" s="1" t="s">
        <v>1293</v>
      </c>
      <c r="N276" s="6">
        <v>44312</v>
      </c>
      <c r="O276" s="6">
        <v>44561</v>
      </c>
      <c r="P276" s="1" t="s">
        <v>1357</v>
      </c>
    </row>
    <row r="277" spans="1:16" hidden="1" x14ac:dyDescent="0.25">
      <c r="A277" s="4">
        <v>273</v>
      </c>
      <c r="B277" s="2" t="str">
        <f>HYPERLINK("https://my.zakupivli.pro/remote/dispatcher/state_purchase_view/27046088", "UA-2021-06-01-002996-b")</f>
        <v>UA-2021-06-01-002996-b</v>
      </c>
      <c r="C277" s="2" t="str">
        <f>HYPERLINK("https://my.zakupivli.pro/remote/dispatcher/state_contracting_view/9114172", "UA-2021-06-01-002996-b-b1")</f>
        <v>UA-2021-06-01-002996-b-b1</v>
      </c>
      <c r="D277" s="1" t="s">
        <v>112</v>
      </c>
      <c r="E277" s="1" t="s">
        <v>1055</v>
      </c>
      <c r="F277" s="1" t="s">
        <v>1055</v>
      </c>
      <c r="G277" s="1" t="s">
        <v>550</v>
      </c>
      <c r="H277" s="1" t="s">
        <v>894</v>
      </c>
      <c r="I277" s="1" t="s">
        <v>804</v>
      </c>
      <c r="J277" s="1" t="s">
        <v>180</v>
      </c>
      <c r="K277" s="1" t="s">
        <v>113</v>
      </c>
      <c r="L277" s="5">
        <v>2529</v>
      </c>
      <c r="M277" s="1" t="s">
        <v>993</v>
      </c>
      <c r="N277" s="6">
        <v>44348</v>
      </c>
      <c r="O277" s="6">
        <v>44561</v>
      </c>
      <c r="P277" s="1" t="s">
        <v>1357</v>
      </c>
    </row>
    <row r="278" spans="1:16" hidden="1" x14ac:dyDescent="0.25">
      <c r="A278" s="4">
        <v>274</v>
      </c>
      <c r="B278" s="2" t="str">
        <f>HYPERLINK("https://my.zakupivli.pro/remote/dispatcher/state_purchase_view/28576694", "UA-2021-07-28-005682-b")</f>
        <v>UA-2021-07-28-005682-b</v>
      </c>
      <c r="C278" s="2" t="str">
        <f>HYPERLINK("https://my.zakupivli.pro/remote/dispatcher/state_contracting_view/9840827", "UA-2021-07-28-005682-b-b1")</f>
        <v>UA-2021-07-28-005682-b-b1</v>
      </c>
      <c r="D278" s="1" t="s">
        <v>383</v>
      </c>
      <c r="E278" s="1" t="s">
        <v>1123</v>
      </c>
      <c r="F278" s="1" t="s">
        <v>1123</v>
      </c>
      <c r="G278" s="1" t="s">
        <v>470</v>
      </c>
      <c r="H278" s="1" t="s">
        <v>894</v>
      </c>
      <c r="I278" s="1" t="s">
        <v>1261</v>
      </c>
      <c r="J278" s="1" t="s">
        <v>402</v>
      </c>
      <c r="K278" s="1" t="s">
        <v>492</v>
      </c>
      <c r="L278" s="5">
        <v>42740.160000000003</v>
      </c>
      <c r="M278" s="1" t="s">
        <v>993</v>
      </c>
      <c r="N278" s="6">
        <v>44404</v>
      </c>
      <c r="O278" s="6">
        <v>44561</v>
      </c>
      <c r="P278" s="1" t="s">
        <v>1357</v>
      </c>
    </row>
    <row r="279" spans="1:16" hidden="1" x14ac:dyDescent="0.25">
      <c r="A279" s="4">
        <v>275</v>
      </c>
      <c r="B279" s="2" t="str">
        <f>HYPERLINK("https://my.zakupivli.pro/remote/dispatcher/state_purchase_view/26942312", "UA-2021-05-27-004551-b")</f>
        <v>UA-2021-05-27-004551-b</v>
      </c>
      <c r="C279" s="2" t="str">
        <f>HYPERLINK("https://my.zakupivli.pro/remote/dispatcher/state_contracting_view/9064638", "UA-2021-05-27-004551-b-b1")</f>
        <v>UA-2021-05-27-004551-b-b1</v>
      </c>
      <c r="D279" s="1" t="s">
        <v>722</v>
      </c>
      <c r="E279" s="1" t="s">
        <v>991</v>
      </c>
      <c r="F279" s="1" t="s">
        <v>991</v>
      </c>
      <c r="G279" s="1" t="s">
        <v>266</v>
      </c>
      <c r="H279" s="1" t="s">
        <v>894</v>
      </c>
      <c r="I279" s="1" t="s">
        <v>1269</v>
      </c>
      <c r="J279" s="1" t="s">
        <v>388</v>
      </c>
      <c r="K279" s="1" t="s">
        <v>82</v>
      </c>
      <c r="L279" s="5">
        <v>43000</v>
      </c>
      <c r="M279" s="1" t="s">
        <v>993</v>
      </c>
      <c r="N279" s="6">
        <v>44343</v>
      </c>
      <c r="O279" s="6">
        <v>44561</v>
      </c>
      <c r="P279" s="1" t="s">
        <v>1357</v>
      </c>
    </row>
    <row r="280" spans="1:16" hidden="1" x14ac:dyDescent="0.25">
      <c r="A280" s="4">
        <v>276</v>
      </c>
      <c r="B280" s="2" t="str">
        <f>HYPERLINK("https://my.zakupivli.pro/remote/dispatcher/state_purchase_view/27049509", "UA-2021-06-01-004118-b")</f>
        <v>UA-2021-06-01-004118-b</v>
      </c>
      <c r="C280" s="2" t="str">
        <f>HYPERLINK("https://my.zakupivli.pro/remote/dispatcher/state_contracting_view/9115233", "UA-2021-06-01-004118-b-b1")</f>
        <v>UA-2021-06-01-004118-b-b1</v>
      </c>
      <c r="D280" s="1" t="s">
        <v>695</v>
      </c>
      <c r="E280" s="1" t="s">
        <v>885</v>
      </c>
      <c r="F280" s="1" t="s">
        <v>885</v>
      </c>
      <c r="G280" s="1" t="s">
        <v>471</v>
      </c>
      <c r="H280" s="1" t="s">
        <v>894</v>
      </c>
      <c r="I280" s="1" t="s">
        <v>1277</v>
      </c>
      <c r="J280" s="1" t="s">
        <v>389</v>
      </c>
      <c r="K280" s="1" t="s">
        <v>87</v>
      </c>
      <c r="L280" s="5">
        <v>2597.75</v>
      </c>
      <c r="M280" s="1" t="s">
        <v>1293</v>
      </c>
      <c r="N280" s="6">
        <v>44348</v>
      </c>
      <c r="O280" s="6">
        <v>44561</v>
      </c>
      <c r="P280" s="1" t="s">
        <v>1357</v>
      </c>
    </row>
    <row r="281" spans="1:16" hidden="1" x14ac:dyDescent="0.25">
      <c r="A281" s="4">
        <v>277</v>
      </c>
      <c r="B281" s="2" t="str">
        <f>HYPERLINK("https://my.zakupivli.pro/remote/dispatcher/state_purchase_view/23127613", "UA-2021-01-21-005912-b")</f>
        <v>UA-2021-01-21-005912-b</v>
      </c>
      <c r="C281" s="2" t="str">
        <f>HYPERLINK("https://my.zakupivli.pro/remote/dispatcher/state_contracting_view/7283556", "UA-2021-01-21-005912-b-b1")</f>
        <v>UA-2021-01-21-005912-b-b1</v>
      </c>
      <c r="D281" s="1" t="s">
        <v>619</v>
      </c>
      <c r="E281" s="1" t="s">
        <v>0</v>
      </c>
      <c r="F281" s="1" t="s">
        <v>1215</v>
      </c>
      <c r="G281" s="1" t="s">
        <v>522</v>
      </c>
      <c r="H281" s="1" t="s">
        <v>894</v>
      </c>
      <c r="I281" s="1" t="s">
        <v>818</v>
      </c>
      <c r="J281" s="1" t="s">
        <v>10</v>
      </c>
      <c r="K281" s="1" t="s">
        <v>160</v>
      </c>
      <c r="L281" s="5">
        <v>12681.4</v>
      </c>
      <c r="M281" s="1" t="s">
        <v>1293</v>
      </c>
      <c r="N281" s="6">
        <v>44217</v>
      </c>
      <c r="O281" s="6">
        <v>44561</v>
      </c>
      <c r="P281" s="1" t="s">
        <v>1357</v>
      </c>
    </row>
    <row r="282" spans="1:16" hidden="1" x14ac:dyDescent="0.25">
      <c r="A282" s="4">
        <v>278</v>
      </c>
      <c r="B282" s="2" t="str">
        <f>HYPERLINK("https://my.zakupivli.pro/remote/dispatcher/state_purchase_view/23209071", "UA-2021-01-25-002442-b")</f>
        <v>UA-2021-01-25-002442-b</v>
      </c>
      <c r="C282" s="2" t="str">
        <f>HYPERLINK("https://my.zakupivli.pro/remote/dispatcher/state_contracting_view/7314353", "UA-2021-01-25-002442-b-b1")</f>
        <v>UA-2021-01-25-002442-b-b1</v>
      </c>
      <c r="D282" s="1" t="s">
        <v>733</v>
      </c>
      <c r="E282" s="1" t="s">
        <v>1010</v>
      </c>
      <c r="F282" s="1" t="s">
        <v>1010</v>
      </c>
      <c r="G282" s="1" t="s">
        <v>577</v>
      </c>
      <c r="H282" s="1" t="s">
        <v>894</v>
      </c>
      <c r="I282" s="1" t="s">
        <v>1284</v>
      </c>
      <c r="J282" s="1" t="s">
        <v>387</v>
      </c>
      <c r="K282" s="1" t="s">
        <v>1061</v>
      </c>
      <c r="L282" s="5">
        <v>7200</v>
      </c>
      <c r="M282" s="1" t="s">
        <v>993</v>
      </c>
      <c r="N282" s="6">
        <v>44221</v>
      </c>
      <c r="O282" s="6">
        <v>44561</v>
      </c>
      <c r="P282" s="1" t="s">
        <v>1357</v>
      </c>
    </row>
    <row r="283" spans="1:16" hidden="1" x14ac:dyDescent="0.25">
      <c r="A283" s="4">
        <v>279</v>
      </c>
      <c r="B283" s="2" t="str">
        <f>HYPERLINK("https://my.zakupivli.pro/remote/dispatcher/state_purchase_view/29824597", "UA-2021-09-14-003729-b")</f>
        <v>UA-2021-09-14-003729-b</v>
      </c>
      <c r="C283" s="2" t="str">
        <f>HYPERLINK("https://my.zakupivli.pro/remote/dispatcher/state_contracting_view/10419281", "UA-2021-09-14-003729-b-b1")</f>
        <v>UA-2021-09-14-003729-b-b1</v>
      </c>
      <c r="D283" s="1" t="s">
        <v>618</v>
      </c>
      <c r="E283" s="1" t="s">
        <v>1073</v>
      </c>
      <c r="F283" s="1" t="s">
        <v>1073</v>
      </c>
      <c r="G283" s="1" t="s">
        <v>574</v>
      </c>
      <c r="H283" s="1" t="s">
        <v>894</v>
      </c>
      <c r="I283" s="1" t="s">
        <v>1026</v>
      </c>
      <c r="J283" s="1" t="s">
        <v>297</v>
      </c>
      <c r="K283" s="1" t="s">
        <v>156</v>
      </c>
      <c r="L283" s="5">
        <v>1800</v>
      </c>
      <c r="M283" s="1" t="s">
        <v>993</v>
      </c>
      <c r="N283" s="6">
        <v>44453</v>
      </c>
      <c r="O283" s="6">
        <v>44561</v>
      </c>
      <c r="P283" s="1" t="s">
        <v>1357</v>
      </c>
    </row>
    <row r="284" spans="1:16" hidden="1" x14ac:dyDescent="0.25">
      <c r="A284" s="4">
        <v>280</v>
      </c>
      <c r="B284" s="2" t="str">
        <f>HYPERLINK("https://my.zakupivli.pro/remote/dispatcher/state_purchase_view/32679614", "UA-2021-12-07-004497-c")</f>
        <v>UA-2021-12-07-004497-c</v>
      </c>
      <c r="C284" s="2" t="str">
        <f>HYPERLINK("https://my.zakupivli.pro/remote/dispatcher/state_contracting_view/11733677", "UA-2021-12-07-004497-c-c1")</f>
        <v>UA-2021-12-07-004497-c-c1</v>
      </c>
      <c r="D284" s="1" t="s">
        <v>558</v>
      </c>
      <c r="E284" s="1" t="s">
        <v>1165</v>
      </c>
      <c r="F284" s="1" t="s">
        <v>1165</v>
      </c>
      <c r="G284" s="1" t="s">
        <v>556</v>
      </c>
      <c r="H284" s="1" t="s">
        <v>894</v>
      </c>
      <c r="I284" s="1" t="s">
        <v>1021</v>
      </c>
      <c r="J284" s="1" t="s">
        <v>279</v>
      </c>
      <c r="K284" s="1" t="s">
        <v>201</v>
      </c>
      <c r="L284" s="5">
        <v>1000</v>
      </c>
      <c r="M284" s="1" t="s">
        <v>993</v>
      </c>
      <c r="N284" s="6">
        <v>44537</v>
      </c>
      <c r="O284" s="6">
        <v>44561</v>
      </c>
      <c r="P284" s="1" t="s">
        <v>1357</v>
      </c>
    </row>
    <row r="285" spans="1:16" hidden="1" x14ac:dyDescent="0.25">
      <c r="A285" s="4">
        <v>281</v>
      </c>
      <c r="B285" s="2" t="str">
        <f>HYPERLINK("https://my.zakupivli.pro/remote/dispatcher/state_purchase_view/26010802", "UA-2021-04-21-002906-c")</f>
        <v>UA-2021-04-21-002906-c</v>
      </c>
      <c r="C285" s="2" t="str">
        <f>HYPERLINK("https://my.zakupivli.pro/remote/dispatcher/state_contracting_view/8619593", "UA-2021-04-21-002906-c-c1")</f>
        <v>UA-2021-04-21-002906-c-c1</v>
      </c>
      <c r="D285" s="1" t="s">
        <v>534</v>
      </c>
      <c r="E285" s="1" t="s">
        <v>1294</v>
      </c>
      <c r="F285" s="1" t="s">
        <v>1295</v>
      </c>
      <c r="G285" s="1" t="s">
        <v>635</v>
      </c>
      <c r="H285" s="1" t="s">
        <v>894</v>
      </c>
      <c r="I285" s="1" t="s">
        <v>1288</v>
      </c>
      <c r="J285" s="1" t="s">
        <v>282</v>
      </c>
      <c r="K285" s="1" t="s">
        <v>588</v>
      </c>
      <c r="L285" s="5">
        <v>10000</v>
      </c>
      <c r="M285" s="1" t="s">
        <v>1293</v>
      </c>
      <c r="N285" s="6">
        <v>44307</v>
      </c>
      <c r="O285" s="6">
        <v>44561</v>
      </c>
      <c r="P285" s="1" t="s">
        <v>1357</v>
      </c>
    </row>
    <row r="286" spans="1:16" hidden="1" x14ac:dyDescent="0.25">
      <c r="A286" s="4">
        <v>282</v>
      </c>
      <c r="B286" s="2" t="str">
        <f>HYPERLINK("https://my.zakupivli.pro/remote/dispatcher/state_purchase_view/23152342", "UA-2021-01-22-000985-b")</f>
        <v>UA-2021-01-22-000985-b</v>
      </c>
      <c r="C286" s="2" t="str">
        <f>HYPERLINK("https://my.zakupivli.pro/remote/dispatcher/state_contracting_view/7291937", "UA-2021-01-22-000985-b-b1")</f>
        <v>UA-2021-01-22-000985-b-b1</v>
      </c>
      <c r="D286" s="1" t="s">
        <v>89</v>
      </c>
      <c r="E286" s="1" t="s">
        <v>1077</v>
      </c>
      <c r="F286" s="1" t="s">
        <v>1077</v>
      </c>
      <c r="G286" s="1" t="s">
        <v>631</v>
      </c>
      <c r="H286" s="1" t="s">
        <v>894</v>
      </c>
      <c r="I286" s="1" t="s">
        <v>920</v>
      </c>
      <c r="J286" s="1" t="s">
        <v>37</v>
      </c>
      <c r="K286" s="1" t="s">
        <v>626</v>
      </c>
      <c r="L286" s="5">
        <v>4968.22</v>
      </c>
      <c r="M286" s="1" t="s">
        <v>1293</v>
      </c>
      <c r="N286" s="6">
        <v>44217</v>
      </c>
      <c r="O286" s="6">
        <v>44561</v>
      </c>
      <c r="P286" s="1" t="s">
        <v>1357</v>
      </c>
    </row>
    <row r="287" spans="1:16" hidden="1" x14ac:dyDescent="0.25">
      <c r="A287" s="4">
        <v>283</v>
      </c>
      <c r="B287" s="2" t="str">
        <f>HYPERLINK("https://my.zakupivli.pro/remote/dispatcher/state_purchase_view/23324526", "UA-2021-01-27-005837-b")</f>
        <v>UA-2021-01-27-005837-b</v>
      </c>
      <c r="C287" s="2" t="str">
        <f>HYPERLINK("https://my.zakupivli.pro/remote/dispatcher/state_contracting_view/7362895", "UA-2021-01-27-005837-b-b1")</f>
        <v>UA-2021-01-27-005837-b-b1</v>
      </c>
      <c r="D287" s="1" t="s">
        <v>367</v>
      </c>
      <c r="E287" s="1" t="s">
        <v>813</v>
      </c>
      <c r="F287" s="1" t="s">
        <v>813</v>
      </c>
      <c r="G287" s="1" t="s">
        <v>439</v>
      </c>
      <c r="H287" s="1" t="s">
        <v>894</v>
      </c>
      <c r="I287" s="1" t="s">
        <v>1263</v>
      </c>
      <c r="J287" s="1" t="s">
        <v>206</v>
      </c>
      <c r="K287" s="1" t="s">
        <v>73</v>
      </c>
      <c r="L287" s="5">
        <v>21600</v>
      </c>
      <c r="M287" s="1" t="s">
        <v>993</v>
      </c>
      <c r="N287" s="6">
        <v>44223</v>
      </c>
      <c r="O287" s="6">
        <v>44561</v>
      </c>
      <c r="P287" s="1" t="s">
        <v>1357</v>
      </c>
    </row>
    <row r="288" spans="1:16" hidden="1" x14ac:dyDescent="0.25">
      <c r="A288" s="4">
        <v>284</v>
      </c>
      <c r="B288" s="2" t="str">
        <f>HYPERLINK("https://my.zakupivli.pro/remote/dispatcher/state_purchase_view/32693085", "UA-2021-12-07-008489-c")</f>
        <v>UA-2021-12-07-008489-c</v>
      </c>
      <c r="C288" s="2" t="str">
        <f>HYPERLINK("https://my.zakupivli.pro/remote/dispatcher/state_contracting_view/11739537", "UA-2021-12-07-008489-c-c1")</f>
        <v>UA-2021-12-07-008489-c-c1</v>
      </c>
      <c r="D288" s="1" t="s">
        <v>425</v>
      </c>
      <c r="E288" s="1" t="s">
        <v>1164</v>
      </c>
      <c r="F288" s="1" t="s">
        <v>1164</v>
      </c>
      <c r="G288" s="1" t="s">
        <v>556</v>
      </c>
      <c r="H288" s="1" t="s">
        <v>894</v>
      </c>
      <c r="I288" s="1" t="s">
        <v>1270</v>
      </c>
      <c r="J288" s="1" t="s">
        <v>352</v>
      </c>
      <c r="K288" s="1" t="s">
        <v>235</v>
      </c>
      <c r="L288" s="5">
        <v>4270.21</v>
      </c>
      <c r="M288" s="1" t="s">
        <v>993</v>
      </c>
      <c r="N288" s="6">
        <v>44537</v>
      </c>
      <c r="O288" s="6">
        <v>44561</v>
      </c>
      <c r="P288" s="1" t="s">
        <v>1357</v>
      </c>
    </row>
    <row r="289" spans="1:16" hidden="1" x14ac:dyDescent="0.25">
      <c r="A289" s="4">
        <v>285</v>
      </c>
      <c r="B289" s="2" t="str">
        <f>HYPERLINK("https://my.zakupivli.pro/remote/dispatcher/state_purchase_view/26008261", "UA-2021-04-21-002143-c")</f>
        <v>UA-2021-04-21-002143-c</v>
      </c>
      <c r="C289" s="2" t="str">
        <f>HYPERLINK("https://my.zakupivli.pro/remote/dispatcher/state_contracting_view/8617721", "UA-2021-04-21-002143-c-c1")</f>
        <v>UA-2021-04-21-002143-c-c1</v>
      </c>
      <c r="D289" s="1" t="s">
        <v>440</v>
      </c>
      <c r="E289" s="1" t="s">
        <v>853</v>
      </c>
      <c r="F289" s="1" t="s">
        <v>853</v>
      </c>
      <c r="G289" s="1" t="s">
        <v>636</v>
      </c>
      <c r="H289" s="1" t="s">
        <v>894</v>
      </c>
      <c r="I289" s="1" t="s">
        <v>1206</v>
      </c>
      <c r="J289" s="1" t="s">
        <v>221</v>
      </c>
      <c r="K289" s="1" t="s">
        <v>540</v>
      </c>
      <c r="L289" s="5">
        <v>5000</v>
      </c>
      <c r="M289" s="1" t="s">
        <v>993</v>
      </c>
      <c r="N289" s="6">
        <v>44307</v>
      </c>
      <c r="O289" s="6">
        <v>44561</v>
      </c>
      <c r="P289" s="1" t="s">
        <v>1357</v>
      </c>
    </row>
    <row r="290" spans="1:16" hidden="1" x14ac:dyDescent="0.25">
      <c r="A290" s="4">
        <v>286</v>
      </c>
      <c r="B290" s="2" t="str">
        <f>HYPERLINK("https://my.zakupivli.pro/remote/dispatcher/state_purchase_view/23216907", "UA-2021-01-25-004291-b")</f>
        <v>UA-2021-01-25-004291-b</v>
      </c>
      <c r="C290" s="2" t="str">
        <f>HYPERLINK("https://my.zakupivli.pro/remote/dispatcher/state_contracting_view/7317491", "UA-2021-01-25-004291-b-b1")</f>
        <v>UA-2021-01-25-004291-b-b1</v>
      </c>
      <c r="D290" s="1" t="s">
        <v>484</v>
      </c>
      <c r="E290" s="1" t="s">
        <v>1158</v>
      </c>
      <c r="F290" s="1" t="s">
        <v>1158</v>
      </c>
      <c r="G290" s="1" t="s">
        <v>553</v>
      </c>
      <c r="H290" s="1" t="s">
        <v>894</v>
      </c>
      <c r="I290" s="1" t="s">
        <v>1021</v>
      </c>
      <c r="J290" s="1" t="s">
        <v>279</v>
      </c>
      <c r="K290" s="1" t="s">
        <v>299</v>
      </c>
      <c r="L290" s="5">
        <v>3720</v>
      </c>
      <c r="M290" s="1" t="s">
        <v>993</v>
      </c>
      <c r="N290" s="6">
        <v>44221</v>
      </c>
      <c r="O290" s="6">
        <v>44561</v>
      </c>
      <c r="P290" s="1" t="s">
        <v>1357</v>
      </c>
    </row>
    <row r="291" spans="1:16" hidden="1" x14ac:dyDescent="0.25">
      <c r="A291" s="4">
        <v>287</v>
      </c>
      <c r="B291" s="2" t="str">
        <f>HYPERLINK("https://my.zakupivli.pro/remote/dispatcher/state_purchase_view/25826228", "UA-2021-04-14-010184-b")</f>
        <v>UA-2021-04-14-010184-b</v>
      </c>
      <c r="C291" s="2" t="str">
        <f>HYPERLINK("https://my.zakupivli.pro/remote/dispatcher/state_contracting_view/8530507", "UA-2021-04-14-010184-b-b1")</f>
        <v>UA-2021-04-14-010184-b-b1</v>
      </c>
      <c r="D291" s="1" t="s">
        <v>452</v>
      </c>
      <c r="E291" s="1" t="s">
        <v>1295</v>
      </c>
      <c r="F291" s="1" t="s">
        <v>1367</v>
      </c>
      <c r="G291" s="1" t="s">
        <v>635</v>
      </c>
      <c r="H291" s="1" t="s">
        <v>894</v>
      </c>
      <c r="I291" s="1" t="s">
        <v>1281</v>
      </c>
      <c r="J291" s="1" t="s">
        <v>314</v>
      </c>
      <c r="K291" s="1" t="s">
        <v>456</v>
      </c>
      <c r="L291" s="5">
        <v>10000</v>
      </c>
      <c r="M291" s="1" t="s">
        <v>1293</v>
      </c>
      <c r="N291" s="6">
        <v>44300</v>
      </c>
      <c r="O291" s="6">
        <v>44561</v>
      </c>
      <c r="P291" s="1" t="s">
        <v>1357</v>
      </c>
    </row>
    <row r="292" spans="1:16" hidden="1" x14ac:dyDescent="0.25">
      <c r="A292" s="4">
        <v>288</v>
      </c>
      <c r="B292" s="2" t="str">
        <f>HYPERLINK("https://my.zakupivli.pro/remote/dispatcher/state_purchase_view/26321671", "UA-2021-05-05-006095-c")</f>
        <v>UA-2021-05-05-006095-c</v>
      </c>
      <c r="C292" s="2" t="str">
        <f>HYPERLINK("https://my.zakupivli.pro/remote/dispatcher/state_contracting_view/8768721", "UA-2021-05-05-006095-c-c1")</f>
        <v>UA-2021-05-05-006095-c-c1</v>
      </c>
      <c r="D292" s="1" t="s">
        <v>680</v>
      </c>
      <c r="E292" s="1" t="s">
        <v>1121</v>
      </c>
      <c r="F292" s="1" t="s">
        <v>1121</v>
      </c>
      <c r="G292" s="1" t="s">
        <v>466</v>
      </c>
      <c r="H292" s="1" t="s">
        <v>894</v>
      </c>
      <c r="I292" s="1" t="s">
        <v>1270</v>
      </c>
      <c r="J292" s="1" t="s">
        <v>352</v>
      </c>
      <c r="K292" s="1" t="s">
        <v>65</v>
      </c>
      <c r="L292" s="5">
        <v>30000</v>
      </c>
      <c r="M292" s="1" t="s">
        <v>1293</v>
      </c>
      <c r="N292" s="6">
        <v>44321</v>
      </c>
      <c r="O292" s="6">
        <v>44561</v>
      </c>
      <c r="P292" s="1" t="s">
        <v>1357</v>
      </c>
    </row>
    <row r="293" spans="1:16" hidden="1" x14ac:dyDescent="0.25">
      <c r="A293" s="4">
        <v>289</v>
      </c>
      <c r="B293" s="2" t="str">
        <f>HYPERLINK("https://my.zakupivli.pro/remote/dispatcher/state_purchase_view/27741410", "UA-2021-06-24-005234-c")</f>
        <v>UA-2021-06-24-005234-c</v>
      </c>
      <c r="C293" s="2" t="str">
        <f>HYPERLINK("https://my.zakupivli.pro/remote/dispatcher/state_contracting_view/9443216", "UA-2021-06-24-005234-c-c1")</f>
        <v>UA-2021-06-24-005234-c-c1</v>
      </c>
      <c r="D293" s="1" t="s">
        <v>98</v>
      </c>
      <c r="E293" s="1" t="s">
        <v>867</v>
      </c>
      <c r="F293" s="1" t="s">
        <v>867</v>
      </c>
      <c r="G293" s="1" t="s">
        <v>473</v>
      </c>
      <c r="H293" s="1" t="s">
        <v>894</v>
      </c>
      <c r="I293" s="1" t="s">
        <v>1025</v>
      </c>
      <c r="J293" s="1" t="s">
        <v>374</v>
      </c>
      <c r="K293" s="1" t="s">
        <v>91</v>
      </c>
      <c r="L293" s="5">
        <v>38343.89</v>
      </c>
      <c r="M293" s="1" t="s">
        <v>993</v>
      </c>
      <c r="N293" s="6">
        <v>44371</v>
      </c>
      <c r="O293" s="6">
        <v>44561</v>
      </c>
      <c r="P293" s="1" t="s">
        <v>1357</v>
      </c>
    </row>
    <row r="294" spans="1:16" hidden="1" x14ac:dyDescent="0.25">
      <c r="A294" s="4">
        <v>290</v>
      </c>
      <c r="B294" s="2" t="str">
        <f>HYPERLINK("https://my.zakupivli.pro/remote/dispatcher/state_purchase_view/31323252", "UA-2021-11-02-004181-a")</f>
        <v>UA-2021-11-02-004181-a</v>
      </c>
      <c r="C294" s="2" t="str">
        <f>HYPERLINK("https://my.zakupivli.pro/remote/dispatcher/state_contracting_view/11108541", "UA-2021-11-02-004181-a-a1")</f>
        <v>UA-2021-11-02-004181-a-a1</v>
      </c>
      <c r="D294" s="1" t="s">
        <v>244</v>
      </c>
      <c r="E294" s="1" t="s">
        <v>883</v>
      </c>
      <c r="F294" s="1" t="s">
        <v>883</v>
      </c>
      <c r="G294" s="1" t="s">
        <v>159</v>
      </c>
      <c r="H294" s="1" t="s">
        <v>894</v>
      </c>
      <c r="I294" s="1" t="s">
        <v>922</v>
      </c>
      <c r="J294" s="1" t="s">
        <v>281</v>
      </c>
      <c r="K294" s="1" t="s">
        <v>209</v>
      </c>
      <c r="L294" s="5">
        <v>15000</v>
      </c>
      <c r="M294" s="1" t="s">
        <v>993</v>
      </c>
      <c r="N294" s="6">
        <v>44502</v>
      </c>
      <c r="O294" s="6">
        <v>44561</v>
      </c>
      <c r="P294" s="1" t="s">
        <v>1357</v>
      </c>
    </row>
    <row r="295" spans="1:16" hidden="1" x14ac:dyDescent="0.25">
      <c r="A295" s="4">
        <v>291</v>
      </c>
      <c r="B295" s="2" t="str">
        <f>HYPERLINK("https://my.zakupivli.pro/remote/dispatcher/state_purchase_view/23131777", "UA-2021-01-21-007112-b")</f>
        <v>UA-2021-01-21-007112-b</v>
      </c>
      <c r="C295" s="2" t="str">
        <f>HYPERLINK("https://my.zakupivli.pro/remote/dispatcher/state_contracting_view/7284644", "UA-2021-01-21-007112-b-b1")</f>
        <v>UA-2021-01-21-007112-b-b1</v>
      </c>
      <c r="D295" s="1" t="s">
        <v>531</v>
      </c>
      <c r="E295" s="1" t="s">
        <v>887</v>
      </c>
      <c r="F295" s="1" t="s">
        <v>887</v>
      </c>
      <c r="G295" s="1" t="s">
        <v>53</v>
      </c>
      <c r="H295" s="1" t="s">
        <v>894</v>
      </c>
      <c r="I295" s="1" t="s">
        <v>1276</v>
      </c>
      <c r="J295" s="1" t="s">
        <v>384</v>
      </c>
      <c r="K295" s="1" t="s">
        <v>163</v>
      </c>
      <c r="L295" s="5">
        <v>34961.06</v>
      </c>
      <c r="M295" s="1" t="s">
        <v>1293</v>
      </c>
      <c r="N295" s="6">
        <v>44217</v>
      </c>
      <c r="O295" s="6">
        <v>44561</v>
      </c>
      <c r="P295" s="1" t="s">
        <v>1357</v>
      </c>
    </row>
    <row r="296" spans="1:16" hidden="1" x14ac:dyDescent="0.25">
      <c r="A296" s="4">
        <v>292</v>
      </c>
      <c r="B296" s="2" t="str">
        <f>HYPERLINK("https://my.zakupivli.pro/remote/dispatcher/state_purchase_view/25827343", "UA-2021-04-14-010601-b")</f>
        <v>UA-2021-04-14-010601-b</v>
      </c>
      <c r="C296" s="2" t="str">
        <f>HYPERLINK("https://my.zakupivli.pro/remote/dispatcher/state_contracting_view/8531009", "UA-2021-04-14-010601-b-b1")</f>
        <v>UA-2021-04-14-010601-b-b1</v>
      </c>
      <c r="D296" s="1" t="s">
        <v>791</v>
      </c>
      <c r="E296" s="1" t="s">
        <v>852</v>
      </c>
      <c r="F296" s="1" t="s">
        <v>850</v>
      </c>
      <c r="G296" s="1" t="s">
        <v>576</v>
      </c>
      <c r="H296" s="1" t="s">
        <v>894</v>
      </c>
      <c r="I296" s="1" t="s">
        <v>1028</v>
      </c>
      <c r="J296" s="1" t="s">
        <v>153</v>
      </c>
      <c r="K296" s="1" t="s">
        <v>508</v>
      </c>
      <c r="L296" s="5">
        <v>4000</v>
      </c>
      <c r="M296" s="1" t="s">
        <v>1293</v>
      </c>
      <c r="N296" s="6">
        <v>44300</v>
      </c>
      <c r="O296" s="6">
        <v>44561</v>
      </c>
      <c r="P296" s="1" t="s">
        <v>1357</v>
      </c>
    </row>
    <row r="297" spans="1:16" hidden="1" x14ac:dyDescent="0.25">
      <c r="A297" s="4">
        <v>293</v>
      </c>
      <c r="B297" s="2" t="str">
        <f>HYPERLINK("https://my.zakupivli.pro/remote/dispatcher/state_purchase_view/28535200", "UA-2021-07-27-003141-b")</f>
        <v>UA-2021-07-27-003141-b</v>
      </c>
      <c r="C297" s="2" t="str">
        <f>HYPERLINK("https://my.zakupivli.pro/remote/dispatcher/state_contracting_view/9819353", "UA-2021-07-27-003141-b-b1")</f>
        <v>UA-2021-07-27-003141-b-b1</v>
      </c>
      <c r="D297" s="1" t="s">
        <v>797</v>
      </c>
      <c r="E297" s="1" t="s">
        <v>985</v>
      </c>
      <c r="F297" s="1" t="s">
        <v>985</v>
      </c>
      <c r="G297" s="1" t="s">
        <v>595</v>
      </c>
      <c r="H297" s="1" t="s">
        <v>894</v>
      </c>
      <c r="I297" s="1" t="s">
        <v>1268</v>
      </c>
      <c r="J297" s="1" t="s">
        <v>391</v>
      </c>
      <c r="K297" s="1" t="s">
        <v>515</v>
      </c>
      <c r="L297" s="5">
        <v>1200</v>
      </c>
      <c r="M297" s="1" t="s">
        <v>993</v>
      </c>
      <c r="N297" s="6">
        <v>44404</v>
      </c>
      <c r="O297" s="6">
        <v>44561</v>
      </c>
      <c r="P297" s="1" t="s">
        <v>1357</v>
      </c>
    </row>
    <row r="298" spans="1:16" hidden="1" x14ac:dyDescent="0.25">
      <c r="A298" s="4">
        <v>294</v>
      </c>
      <c r="B298" s="2" t="str">
        <f>HYPERLINK("https://my.zakupivli.pro/remote/dispatcher/state_purchase_view/22970653", "UA-2021-01-15-001504-a")</f>
        <v>UA-2021-01-15-001504-a</v>
      </c>
      <c r="C298" s="2" t="str">
        <f>HYPERLINK("https://my.zakupivli.pro/remote/dispatcher/state_contracting_view/7311001", "UA-2021-01-15-001504-a-a1")</f>
        <v>UA-2021-01-15-001504-a-a1</v>
      </c>
      <c r="D298" s="1" t="s">
        <v>598</v>
      </c>
      <c r="E298" s="1" t="s">
        <v>1174</v>
      </c>
      <c r="F298" s="1" t="s">
        <v>1174</v>
      </c>
      <c r="G298" s="1" t="s">
        <v>54</v>
      </c>
      <c r="H298" s="1" t="s">
        <v>1056</v>
      </c>
      <c r="I298" s="1" t="s">
        <v>1020</v>
      </c>
      <c r="J298" s="1" t="s">
        <v>35</v>
      </c>
      <c r="K298" s="1" t="s">
        <v>464</v>
      </c>
      <c r="L298" s="5">
        <v>425046.96</v>
      </c>
      <c r="M298" s="1" t="s">
        <v>1293</v>
      </c>
      <c r="N298" s="6">
        <v>44221</v>
      </c>
      <c r="O298" s="6">
        <v>44561</v>
      </c>
      <c r="P298" s="1" t="s">
        <v>1357</v>
      </c>
    </row>
    <row r="299" spans="1:16" hidden="1" x14ac:dyDescent="0.25">
      <c r="A299" s="4">
        <v>295</v>
      </c>
      <c r="B299" s="2" t="str">
        <f>HYPERLINK("https://my.zakupivli.pro/remote/dispatcher/state_purchase_view/23206350", "UA-2021-01-25-001747-b")</f>
        <v>UA-2021-01-25-001747-b</v>
      </c>
      <c r="C299" s="2" t="str">
        <f>HYPERLINK("https://my.zakupivli.pro/remote/dispatcher/state_contracting_view/7313147", "UA-2021-01-25-001747-b-b1")</f>
        <v>UA-2021-01-25-001747-b-b1</v>
      </c>
      <c r="D299" s="1" t="s">
        <v>747</v>
      </c>
      <c r="E299" s="1" t="s">
        <v>1328</v>
      </c>
      <c r="F299" s="1" t="s">
        <v>1328</v>
      </c>
      <c r="G299" s="1" t="s">
        <v>632</v>
      </c>
      <c r="H299" s="1" t="s">
        <v>894</v>
      </c>
      <c r="I299" s="1" t="s">
        <v>1019</v>
      </c>
      <c r="J299" s="1" t="s">
        <v>36</v>
      </c>
      <c r="K299" s="1" t="s">
        <v>663</v>
      </c>
      <c r="L299" s="5">
        <v>7246.9</v>
      </c>
      <c r="M299" s="1" t="s">
        <v>1293</v>
      </c>
      <c r="N299" s="6">
        <v>44221</v>
      </c>
      <c r="O299" s="6">
        <v>44561</v>
      </c>
      <c r="P299" s="1" t="s">
        <v>1357</v>
      </c>
    </row>
    <row r="300" spans="1:16" hidden="1" x14ac:dyDescent="0.25">
      <c r="A300" s="4">
        <v>296</v>
      </c>
      <c r="B300" s="2" t="str">
        <f>HYPERLINK("https://my.zakupivli.pro/remote/dispatcher/state_purchase_view/23115379", "UA-2021-01-21-002299-b")</f>
        <v>UA-2021-01-21-002299-b</v>
      </c>
      <c r="C300" s="2" t="str">
        <f>HYPERLINK("https://my.zakupivli.pro/remote/dispatcher/state_contracting_view/7278220", "UA-2021-01-21-002299-b-b1")</f>
        <v>UA-2021-01-21-002299-b-b1</v>
      </c>
      <c r="D300" s="1" t="s">
        <v>744</v>
      </c>
      <c r="E300" s="1" t="s">
        <v>9</v>
      </c>
      <c r="F300" s="1" t="s">
        <v>9</v>
      </c>
      <c r="G300" s="1" t="s">
        <v>522</v>
      </c>
      <c r="H300" s="1" t="s">
        <v>894</v>
      </c>
      <c r="I300" s="1" t="s">
        <v>818</v>
      </c>
      <c r="J300" s="1" t="s">
        <v>10</v>
      </c>
      <c r="K300" s="1" t="s">
        <v>160</v>
      </c>
      <c r="L300" s="5">
        <v>57.37</v>
      </c>
      <c r="M300" s="1" t="s">
        <v>1293</v>
      </c>
      <c r="N300" s="6">
        <v>44217</v>
      </c>
      <c r="O300" s="6">
        <v>44561</v>
      </c>
      <c r="P300" s="1" t="s">
        <v>1357</v>
      </c>
    </row>
    <row r="301" spans="1:16" hidden="1" x14ac:dyDescent="0.25">
      <c r="A301" s="4">
        <v>297</v>
      </c>
      <c r="B301" s="2" t="str">
        <f>HYPERLINK("https://my.zakupivli.pro/remote/dispatcher/state_purchase_view/28536939", "UA-2021-07-27-003755-b")</f>
        <v>UA-2021-07-27-003755-b</v>
      </c>
      <c r="C301" s="2" t="str">
        <f>HYPERLINK("https://my.zakupivli.pro/remote/dispatcher/state_contracting_view/9820176", "UA-2021-07-27-003755-b-b1")</f>
        <v>UA-2021-07-27-003755-b-b1</v>
      </c>
      <c r="D301" s="1" t="s">
        <v>775</v>
      </c>
      <c r="E301" s="1" t="s">
        <v>936</v>
      </c>
      <c r="F301" s="1" t="s">
        <v>936</v>
      </c>
      <c r="G301" s="1" t="s">
        <v>263</v>
      </c>
      <c r="H301" s="1" t="s">
        <v>894</v>
      </c>
      <c r="I301" s="1" t="s">
        <v>1344</v>
      </c>
      <c r="J301" s="1" t="s">
        <v>293</v>
      </c>
      <c r="K301" s="1" t="s">
        <v>104</v>
      </c>
      <c r="L301" s="5">
        <v>6654.24</v>
      </c>
      <c r="M301" s="1" t="s">
        <v>993</v>
      </c>
      <c r="N301" s="6">
        <v>44404</v>
      </c>
      <c r="O301" s="6">
        <v>44561</v>
      </c>
      <c r="P301" s="1" t="s">
        <v>1357</v>
      </c>
    </row>
    <row r="302" spans="1:16" hidden="1" x14ac:dyDescent="0.25">
      <c r="A302" s="4">
        <v>298</v>
      </c>
      <c r="B302" s="2" t="str">
        <f>HYPERLINK("https://my.zakupivli.pro/remote/dispatcher/state_purchase_view/23659573", "UA-2021-02-04-009079-a")</f>
        <v>UA-2021-02-04-009079-a</v>
      </c>
      <c r="C302" s="2" t="str">
        <f>HYPERLINK("https://my.zakupivli.pro/remote/dispatcher/state_contracting_view/7508638", "UA-2021-02-04-009079-a-a1")</f>
        <v>UA-2021-02-04-009079-a-a1</v>
      </c>
      <c r="D302" s="1" t="s">
        <v>657</v>
      </c>
      <c r="E302" s="1" t="s">
        <v>1163</v>
      </c>
      <c r="F302" s="1" t="s">
        <v>1162</v>
      </c>
      <c r="G302" s="1" t="s">
        <v>520</v>
      </c>
      <c r="H302" s="1" t="s">
        <v>894</v>
      </c>
      <c r="I302" s="1" t="s">
        <v>1031</v>
      </c>
      <c r="J302" s="1" t="s">
        <v>154</v>
      </c>
      <c r="K302" s="1" t="s">
        <v>94</v>
      </c>
      <c r="L302" s="4">
        <v>1096</v>
      </c>
      <c r="M302" s="1" t="s">
        <v>1293</v>
      </c>
      <c r="N302" s="6">
        <v>44231</v>
      </c>
      <c r="O302" s="6">
        <v>44561</v>
      </c>
      <c r="P302" s="1" t="s">
        <v>1357</v>
      </c>
    </row>
    <row r="303" spans="1:16" hidden="1" x14ac:dyDescent="0.25">
      <c r="A303" s="4">
        <v>299</v>
      </c>
      <c r="B303" s="2" t="str">
        <f>HYPERLINK("https://my.zakupivli.pro/remote/dispatcher/state_purchase_view/30155617", "UA-2021-09-23-004706-b")</f>
        <v>UA-2021-09-23-004706-b</v>
      </c>
      <c r="C303" s="2" t="str">
        <f>HYPERLINK("https://my.zakupivli.pro/remote/dispatcher/state_contracting_view/10576865", "UA-2021-09-23-004706-b-b1")</f>
        <v>UA-2021-09-23-004706-b-b1</v>
      </c>
      <c r="D303" s="1" t="s">
        <v>700</v>
      </c>
      <c r="E303" s="1" t="s">
        <v>1116</v>
      </c>
      <c r="F303" s="1" t="s">
        <v>1117</v>
      </c>
      <c r="G303" s="1" t="s">
        <v>597</v>
      </c>
      <c r="H303" s="1" t="s">
        <v>894</v>
      </c>
      <c r="I303" s="1" t="s">
        <v>976</v>
      </c>
      <c r="J303" s="1" t="s">
        <v>213</v>
      </c>
      <c r="K303" s="1" t="s">
        <v>441</v>
      </c>
      <c r="L303" s="5">
        <v>1420</v>
      </c>
      <c r="M303" s="1" t="s">
        <v>993</v>
      </c>
      <c r="N303" s="6">
        <v>44462</v>
      </c>
      <c r="O303" s="6">
        <v>44561</v>
      </c>
      <c r="P303" s="1" t="s">
        <v>1357</v>
      </c>
    </row>
    <row r="304" spans="1:16" hidden="1" x14ac:dyDescent="0.25">
      <c r="A304" s="4">
        <v>300</v>
      </c>
      <c r="B304" s="2" t="str">
        <f>HYPERLINK("https://my.zakupivli.pro/remote/dispatcher/state_purchase_view/29279185", "UA-2021-08-26-007577-a")</f>
        <v>UA-2021-08-26-007577-a</v>
      </c>
      <c r="C304" s="2" t="str">
        <f>HYPERLINK("https://my.zakupivli.pro/remote/dispatcher/state_contracting_view/10166628", "UA-2021-08-26-007577-a-a1")</f>
        <v>UA-2021-08-26-007577-a-a1</v>
      </c>
      <c r="D304" s="1" t="s">
        <v>698</v>
      </c>
      <c r="E304" s="1" t="s">
        <v>1084</v>
      </c>
      <c r="F304" s="1" t="s">
        <v>1085</v>
      </c>
      <c r="G304" s="1" t="s">
        <v>438</v>
      </c>
      <c r="H304" s="1" t="s">
        <v>894</v>
      </c>
      <c r="I304" s="1" t="s">
        <v>929</v>
      </c>
      <c r="J304" s="1" t="s">
        <v>207</v>
      </c>
      <c r="K304" s="1" t="s">
        <v>107</v>
      </c>
      <c r="L304" s="5">
        <v>1700</v>
      </c>
      <c r="M304" s="1" t="s">
        <v>993</v>
      </c>
      <c r="N304" s="6">
        <v>44433</v>
      </c>
      <c r="O304" s="6">
        <v>44561</v>
      </c>
      <c r="P304" s="1" t="s">
        <v>1357</v>
      </c>
    </row>
    <row r="305" spans="1:16" hidden="1" x14ac:dyDescent="0.25">
      <c r="A305" s="4">
        <v>301</v>
      </c>
      <c r="B305" s="2" t="str">
        <f>HYPERLINK("https://my.zakupivli.pro/remote/dispatcher/state_purchase_view/30989800", "UA-2021-10-22-001979-b")</f>
        <v>UA-2021-10-22-001979-b</v>
      </c>
      <c r="C305" s="2" t="str">
        <f>HYPERLINK("https://my.zakupivli.pro/remote/dispatcher/state_contracting_view/10956874", "UA-2021-10-22-001979-b-b1")</f>
        <v>UA-2021-10-22-001979-b-b1</v>
      </c>
      <c r="D305" s="1" t="s">
        <v>562</v>
      </c>
      <c r="E305" s="1" t="s">
        <v>1092</v>
      </c>
      <c r="F305" s="1" t="s">
        <v>1092</v>
      </c>
      <c r="G305" s="1" t="s">
        <v>632</v>
      </c>
      <c r="H305" s="1" t="s">
        <v>894</v>
      </c>
      <c r="I305" s="1" t="s">
        <v>1019</v>
      </c>
      <c r="J305" s="1" t="s">
        <v>36</v>
      </c>
      <c r="K305" s="1" t="s">
        <v>879</v>
      </c>
      <c r="L305" s="5">
        <v>2443.5</v>
      </c>
      <c r="M305" s="1" t="s">
        <v>1293</v>
      </c>
      <c r="N305" s="6">
        <v>44491</v>
      </c>
      <c r="O305" s="6">
        <v>44561</v>
      </c>
      <c r="P305" s="1" t="s">
        <v>1357</v>
      </c>
    </row>
    <row r="306" spans="1:16" hidden="1" x14ac:dyDescent="0.25">
      <c r="A306" s="4">
        <v>302</v>
      </c>
      <c r="B306" s="2" t="str">
        <f>HYPERLINK("https://my.zakupivli.pro/remote/dispatcher/state_purchase_view/32967730", "UA-2021-12-13-003339-c")</f>
        <v>UA-2021-12-13-003339-c</v>
      </c>
      <c r="C306" s="2" t="str">
        <f>HYPERLINK("https://my.zakupivli.pro/remote/dispatcher/state_contracting_view/11869214", "UA-2021-12-13-003339-c-c1")</f>
        <v>UA-2021-12-13-003339-c-c1</v>
      </c>
      <c r="D306" s="1" t="s">
        <v>600</v>
      </c>
      <c r="E306" s="1" t="s">
        <v>853</v>
      </c>
      <c r="F306" s="1" t="s">
        <v>853</v>
      </c>
      <c r="G306" s="1" t="s">
        <v>636</v>
      </c>
      <c r="H306" s="1" t="s">
        <v>894</v>
      </c>
      <c r="I306" s="1" t="s">
        <v>1206</v>
      </c>
      <c r="J306" s="1" t="s">
        <v>221</v>
      </c>
      <c r="K306" s="1" t="s">
        <v>488</v>
      </c>
      <c r="L306" s="5">
        <v>10000</v>
      </c>
      <c r="M306" s="1" t="s">
        <v>993</v>
      </c>
      <c r="N306" s="6">
        <v>44543</v>
      </c>
      <c r="O306" s="6">
        <v>44561</v>
      </c>
      <c r="P306" s="1" t="s">
        <v>1357</v>
      </c>
    </row>
    <row r="307" spans="1:16" hidden="1" x14ac:dyDescent="0.25">
      <c r="A307" s="4">
        <v>303</v>
      </c>
      <c r="B307" s="2" t="str">
        <f>HYPERLINK("https://my.zakupivli.pro/remote/dispatcher/state_purchase_view/32694709", "UA-2021-12-07-008891-c")</f>
        <v>UA-2021-12-07-008891-c</v>
      </c>
      <c r="C307" s="2" t="str">
        <f>HYPERLINK("https://my.zakupivli.pro/remote/dispatcher/state_contracting_view/11740164", "UA-2021-12-07-008891-c-c1")</f>
        <v>UA-2021-12-07-008891-c-c1</v>
      </c>
      <c r="D307" s="1" t="s">
        <v>479</v>
      </c>
      <c r="E307" s="1" t="s">
        <v>979</v>
      </c>
      <c r="F307" s="1" t="s">
        <v>979</v>
      </c>
      <c r="G307" s="1" t="s">
        <v>102</v>
      </c>
      <c r="H307" s="1" t="s">
        <v>894</v>
      </c>
      <c r="I307" s="1" t="s">
        <v>919</v>
      </c>
      <c r="J307" s="1" t="s">
        <v>296</v>
      </c>
      <c r="K307" s="1" t="s">
        <v>218</v>
      </c>
      <c r="L307" s="5">
        <v>34033.800000000003</v>
      </c>
      <c r="M307" s="1" t="s">
        <v>993</v>
      </c>
      <c r="N307" s="6">
        <v>44537</v>
      </c>
      <c r="O307" s="6">
        <v>44561</v>
      </c>
      <c r="P307" s="1" t="s">
        <v>1357</v>
      </c>
    </row>
    <row r="308" spans="1:16" hidden="1" x14ac:dyDescent="0.25">
      <c r="A308" s="4">
        <v>304</v>
      </c>
      <c r="B308" s="2" t="str">
        <f>HYPERLINK("https://my.zakupivli.pro/remote/dispatcher/state_purchase_view/33447107", "UA-2021-12-21-003332-c")</f>
        <v>UA-2021-12-21-003332-c</v>
      </c>
      <c r="C308" s="2" t="str">
        <f>HYPERLINK("https://my.zakupivli.pro/remote/dispatcher/state_contracting_view/12101318", "UA-2021-12-21-003332-c-c1")</f>
        <v>UA-2021-12-21-003332-c-c1</v>
      </c>
      <c r="D308" s="1" t="s">
        <v>684</v>
      </c>
      <c r="E308" s="1" t="s">
        <v>811</v>
      </c>
      <c r="F308" s="1" t="s">
        <v>811</v>
      </c>
      <c r="G308" s="1" t="s">
        <v>575</v>
      </c>
      <c r="H308" s="1" t="s">
        <v>894</v>
      </c>
      <c r="I308" s="1" t="s">
        <v>1016</v>
      </c>
      <c r="J308" s="1" t="s">
        <v>32</v>
      </c>
      <c r="K308" s="1" t="s">
        <v>227</v>
      </c>
      <c r="L308" s="5">
        <v>3600</v>
      </c>
      <c r="M308" s="1" t="s">
        <v>1293</v>
      </c>
      <c r="N308" s="6">
        <v>44551</v>
      </c>
      <c r="O308" s="6">
        <v>44561</v>
      </c>
      <c r="P308" s="1" t="s">
        <v>1357</v>
      </c>
    </row>
    <row r="309" spans="1:16" hidden="1" x14ac:dyDescent="0.25">
      <c r="A309" s="4">
        <v>305</v>
      </c>
      <c r="B309" s="2" t="str">
        <f>HYPERLINK("https://my.zakupivli.pro/remote/dispatcher/state_purchase_view/31158661", "UA-2021-10-27-003108-a")</f>
        <v>UA-2021-10-27-003108-a</v>
      </c>
      <c r="C309" s="2" t="str">
        <f>HYPERLINK("https://my.zakupivli.pro/remote/dispatcher/state_contracting_view/11034271", "UA-2021-10-27-003108-a-a1")</f>
        <v>UA-2021-10-27-003108-a-a1</v>
      </c>
      <c r="D309" s="1" t="s">
        <v>57</v>
      </c>
      <c r="E309" s="1" t="s">
        <v>971</v>
      </c>
      <c r="F309" s="1" t="s">
        <v>822</v>
      </c>
      <c r="G309" s="1" t="s">
        <v>288</v>
      </c>
      <c r="H309" s="1" t="s">
        <v>894</v>
      </c>
      <c r="I309" s="1" t="s">
        <v>1322</v>
      </c>
      <c r="J309" s="1" t="s">
        <v>240</v>
      </c>
      <c r="K309" s="1" t="s">
        <v>927</v>
      </c>
      <c r="L309" s="5">
        <v>32685.32</v>
      </c>
      <c r="M309" s="1" t="s">
        <v>993</v>
      </c>
      <c r="N309" s="6">
        <v>44496</v>
      </c>
      <c r="O309" s="6">
        <v>44530</v>
      </c>
      <c r="P309" s="1" t="s">
        <v>1357</v>
      </c>
    </row>
    <row r="310" spans="1:16" hidden="1" x14ac:dyDescent="0.25">
      <c r="A310" s="4">
        <v>306</v>
      </c>
      <c r="B310" s="2" t="str">
        <f>HYPERLINK("https://my.zakupivli.pro/remote/dispatcher/state_purchase_view/31157652", "UA-2021-10-27-002846-a")</f>
        <v>UA-2021-10-27-002846-a</v>
      </c>
      <c r="C310" s="2" t="str">
        <f>HYPERLINK("https://my.zakupivli.pro/remote/dispatcher/state_contracting_view/11033416", "UA-2021-10-27-002846-a-a1")</f>
        <v>UA-2021-10-27-002846-a-a1</v>
      </c>
      <c r="D310" s="1" t="s">
        <v>674</v>
      </c>
      <c r="E310" s="1" t="s">
        <v>868</v>
      </c>
      <c r="F310" s="1" t="s">
        <v>868</v>
      </c>
      <c r="G310" s="1" t="s">
        <v>328</v>
      </c>
      <c r="H310" s="1" t="s">
        <v>894</v>
      </c>
      <c r="I310" s="1" t="s">
        <v>1322</v>
      </c>
      <c r="J310" s="1" t="s">
        <v>240</v>
      </c>
      <c r="K310" s="1" t="s">
        <v>927</v>
      </c>
      <c r="L310" s="5">
        <v>15974</v>
      </c>
      <c r="M310" s="1" t="s">
        <v>993</v>
      </c>
      <c r="N310" s="6">
        <v>44496</v>
      </c>
      <c r="O310" s="6">
        <v>44530</v>
      </c>
      <c r="P310" s="1" t="s">
        <v>1357</v>
      </c>
    </row>
    <row r="311" spans="1:16" hidden="1" x14ac:dyDescent="0.25">
      <c r="A311" s="4">
        <v>307</v>
      </c>
      <c r="B311" s="2" t="str">
        <f>HYPERLINK("https://my.zakupivli.pro/remote/dispatcher/state_purchase_view/29950019", "UA-2021-09-17-000468-b")</f>
        <v>UA-2021-09-17-000468-b</v>
      </c>
      <c r="C311" s="2" t="str">
        <f>HYPERLINK("https://my.zakupivli.pro/remote/dispatcher/state_contracting_view/10476978", "UA-2021-09-17-000468-b-b1")</f>
        <v>UA-2021-09-17-000468-b-b1</v>
      </c>
      <c r="D311" s="1" t="s">
        <v>320</v>
      </c>
      <c r="E311" s="1" t="s">
        <v>1109</v>
      </c>
      <c r="F311" s="1" t="s">
        <v>1109</v>
      </c>
      <c r="G311" s="1" t="s">
        <v>421</v>
      </c>
      <c r="H311" s="1" t="s">
        <v>894</v>
      </c>
      <c r="I311" s="1" t="s">
        <v>1261</v>
      </c>
      <c r="J311" s="1" t="s">
        <v>402</v>
      </c>
      <c r="K311" s="1" t="s">
        <v>172</v>
      </c>
      <c r="L311" s="5">
        <v>27600</v>
      </c>
      <c r="M311" s="1" t="s">
        <v>993</v>
      </c>
      <c r="N311" s="6">
        <v>44455</v>
      </c>
      <c r="O311" s="6">
        <v>44500</v>
      </c>
      <c r="P311" s="1" t="s">
        <v>1357</v>
      </c>
    </row>
    <row r="312" spans="1:16" hidden="1" x14ac:dyDescent="0.25">
      <c r="A312" s="4">
        <v>308</v>
      </c>
      <c r="B312" s="2" t="str">
        <f>HYPERLINK("https://my.zakupivli.pro/remote/dispatcher/state_purchase_view/30773718", "UA-2021-10-13-008656-b")</f>
        <v>UA-2021-10-13-008656-b</v>
      </c>
      <c r="C312" s="2" t="str">
        <f>HYPERLINK("https://my.zakupivli.pro/remote/dispatcher/state_contracting_view/10857351", "UA-2021-10-13-008656-b-b1")</f>
        <v>UA-2021-10-13-008656-b-b1</v>
      </c>
      <c r="D312" s="1" t="s">
        <v>284</v>
      </c>
      <c r="E312" s="1" t="s">
        <v>1325</v>
      </c>
      <c r="F312" s="1" t="s">
        <v>1324</v>
      </c>
      <c r="G312" s="1" t="s">
        <v>325</v>
      </c>
      <c r="H312" s="1" t="s">
        <v>894</v>
      </c>
      <c r="I312" s="1" t="s">
        <v>831</v>
      </c>
      <c r="J312" s="1" t="s">
        <v>237</v>
      </c>
      <c r="K312" s="1" t="s">
        <v>926</v>
      </c>
      <c r="L312" s="5">
        <v>28942</v>
      </c>
      <c r="M312" s="1" t="s">
        <v>993</v>
      </c>
      <c r="N312" s="6">
        <v>44482</v>
      </c>
      <c r="O312" s="6">
        <v>44500</v>
      </c>
      <c r="P312" s="1" t="s">
        <v>1357</v>
      </c>
    </row>
    <row r="313" spans="1:16" hidden="1" x14ac:dyDescent="0.25">
      <c r="A313" s="4">
        <v>309</v>
      </c>
      <c r="B313" s="2" t="str">
        <f>HYPERLINK("https://my.zakupivli.pro/remote/dispatcher/state_purchase_view/30525218", "UA-2021-10-06-004426-b")</f>
        <v>UA-2021-10-06-004426-b</v>
      </c>
      <c r="C313" s="2" t="str">
        <f>HYPERLINK("https://my.zakupivli.pro/remote/dispatcher/state_contracting_view/10742744", "UA-2021-10-06-004426-b-b1")</f>
        <v>UA-2021-10-06-004426-b-b1</v>
      </c>
      <c r="D313" s="1" t="s">
        <v>39</v>
      </c>
      <c r="E313" s="1" t="s">
        <v>1009</v>
      </c>
      <c r="F313" s="1" t="s">
        <v>1008</v>
      </c>
      <c r="G313" s="1" t="s">
        <v>343</v>
      </c>
      <c r="H313" s="1" t="s">
        <v>894</v>
      </c>
      <c r="I313" s="1" t="s">
        <v>1351</v>
      </c>
      <c r="J313" s="1" t="s">
        <v>292</v>
      </c>
      <c r="K313" s="1" t="s">
        <v>198</v>
      </c>
      <c r="L313" s="5">
        <v>13273</v>
      </c>
      <c r="M313" s="1" t="s">
        <v>993</v>
      </c>
      <c r="N313" s="6">
        <v>44475</v>
      </c>
      <c r="O313" s="6">
        <v>44500</v>
      </c>
      <c r="P313" s="1" t="s">
        <v>1357</v>
      </c>
    </row>
    <row r="314" spans="1:16" hidden="1" x14ac:dyDescent="0.25">
      <c r="A314" s="4">
        <v>310</v>
      </c>
      <c r="B314" s="2" t="str">
        <f>HYPERLINK("https://my.zakupivli.pro/remote/dispatcher/state_purchase_view/30776170", "UA-2021-10-13-009412-b")</f>
        <v>UA-2021-10-13-009412-b</v>
      </c>
      <c r="C314" s="2" t="str">
        <f>HYPERLINK("https://my.zakupivli.pro/remote/dispatcher/state_contracting_view/10857822", "UA-2021-10-13-009412-b-b1")</f>
        <v>UA-2021-10-13-009412-b-b1</v>
      </c>
      <c r="D314" s="1" t="s">
        <v>59</v>
      </c>
      <c r="E314" s="1" t="s">
        <v>971</v>
      </c>
      <c r="F314" s="1" t="s">
        <v>949</v>
      </c>
      <c r="G314" s="1" t="s">
        <v>288</v>
      </c>
      <c r="H314" s="1" t="s">
        <v>894</v>
      </c>
      <c r="I314" s="1" t="s">
        <v>831</v>
      </c>
      <c r="J314" s="1" t="s">
        <v>237</v>
      </c>
      <c r="K314" s="1" t="s">
        <v>926</v>
      </c>
      <c r="L314" s="5">
        <v>12789</v>
      </c>
      <c r="M314" s="1" t="s">
        <v>993</v>
      </c>
      <c r="N314" s="6">
        <v>44482</v>
      </c>
      <c r="O314" s="6">
        <v>44500</v>
      </c>
      <c r="P314" s="1" t="s">
        <v>1357</v>
      </c>
    </row>
    <row r="315" spans="1:16" hidden="1" x14ac:dyDescent="0.25">
      <c r="A315" s="4">
        <v>311</v>
      </c>
      <c r="B315" s="2" t="str">
        <f>HYPERLINK("https://my.zakupivli.pro/remote/dispatcher/state_purchase_view/30158455", "UA-2021-09-23-005500-b")</f>
        <v>UA-2021-09-23-005500-b</v>
      </c>
      <c r="C315" s="2" t="str">
        <f>HYPERLINK("https://my.zakupivli.pro/remote/dispatcher/state_contracting_view/10573682", "UA-2021-09-23-005500-b-b1")</f>
        <v>UA-2021-09-23-005500-b-b1</v>
      </c>
      <c r="D315" s="1" t="s">
        <v>490</v>
      </c>
      <c r="E315" s="1" t="s">
        <v>1239</v>
      </c>
      <c r="F315" s="1" t="s">
        <v>874</v>
      </c>
      <c r="G315" s="1" t="s">
        <v>350</v>
      </c>
      <c r="H315" s="1" t="s">
        <v>894</v>
      </c>
      <c r="I315" s="1" t="s">
        <v>1351</v>
      </c>
      <c r="J315" s="1" t="s">
        <v>292</v>
      </c>
      <c r="K315" s="1" t="s">
        <v>185</v>
      </c>
      <c r="L315" s="5">
        <v>41988</v>
      </c>
      <c r="M315" s="1" t="s">
        <v>993</v>
      </c>
      <c r="N315" s="6">
        <v>44462</v>
      </c>
      <c r="O315" s="6">
        <v>44469</v>
      </c>
      <c r="P315" s="1" t="s">
        <v>1357</v>
      </c>
    </row>
    <row r="316" spans="1:16" hidden="1" x14ac:dyDescent="0.25">
      <c r="A316" s="4">
        <v>312</v>
      </c>
      <c r="B316" s="2" t="str">
        <f>HYPERLINK("https://my.zakupivli.pro/remote/dispatcher/state_purchase_view/29649860", "UA-2021-09-08-005505-c")</f>
        <v>UA-2021-09-08-005505-c</v>
      </c>
      <c r="C316" s="2" t="str">
        <f>HYPERLINK("https://my.zakupivli.pro/remote/dispatcher/state_contracting_view/10338490", "UA-2021-09-08-005505-c-c1")</f>
        <v>UA-2021-09-08-005505-c-c1</v>
      </c>
      <c r="D316" s="1" t="s">
        <v>769</v>
      </c>
      <c r="E316" s="1" t="s">
        <v>953</v>
      </c>
      <c r="F316" s="1" t="s">
        <v>953</v>
      </c>
      <c r="G316" s="1" t="s">
        <v>354</v>
      </c>
      <c r="H316" s="1" t="s">
        <v>894</v>
      </c>
      <c r="I316" s="1" t="s">
        <v>1014</v>
      </c>
      <c r="J316" s="1" t="s">
        <v>233</v>
      </c>
      <c r="K316" s="1" t="s">
        <v>145</v>
      </c>
      <c r="L316" s="5">
        <v>39000</v>
      </c>
      <c r="M316" s="1" t="s">
        <v>993</v>
      </c>
      <c r="N316" s="6">
        <v>44447</v>
      </c>
      <c r="O316" s="6">
        <v>44469</v>
      </c>
      <c r="P316" s="1" t="s">
        <v>1357</v>
      </c>
    </row>
    <row r="317" spans="1:16" hidden="1" x14ac:dyDescent="0.25">
      <c r="A317" s="4">
        <v>313</v>
      </c>
      <c r="B317" s="2" t="str">
        <f>HYPERLINK("https://my.zakupivli.pro/remote/dispatcher/state_purchase_view/29652140", "UA-2021-09-08-006220-c")</f>
        <v>UA-2021-09-08-006220-c</v>
      </c>
      <c r="C317" s="2" t="str">
        <f>HYPERLINK("https://my.zakupivli.pro/remote/dispatcher/state_contracting_view/10339530", "UA-2021-09-08-006220-c-c1")</f>
        <v>UA-2021-09-08-006220-c-c1</v>
      </c>
      <c r="D317" s="1" t="s">
        <v>720</v>
      </c>
      <c r="E317" s="1" t="s">
        <v>1152</v>
      </c>
      <c r="F317" s="1" t="s">
        <v>1152</v>
      </c>
      <c r="G317" s="1" t="s">
        <v>477</v>
      </c>
      <c r="H317" s="1" t="s">
        <v>894</v>
      </c>
      <c r="I317" s="1" t="s">
        <v>1231</v>
      </c>
      <c r="J317" s="1" t="s">
        <v>229</v>
      </c>
      <c r="K317" s="1" t="s">
        <v>151</v>
      </c>
      <c r="L317" s="5">
        <v>33347</v>
      </c>
      <c r="M317" s="1" t="s">
        <v>993</v>
      </c>
      <c r="N317" s="6">
        <v>44447</v>
      </c>
      <c r="O317" s="6">
        <v>44469</v>
      </c>
      <c r="P317" s="1" t="s">
        <v>1357</v>
      </c>
    </row>
    <row r="318" spans="1:16" hidden="1" x14ac:dyDescent="0.25">
      <c r="A318" s="4">
        <v>314</v>
      </c>
      <c r="B318" s="2" t="str">
        <f>HYPERLINK("https://my.zakupivli.pro/remote/dispatcher/state_purchase_view/28176491", "UA-2021-07-13-001848-c")</f>
        <v>UA-2021-07-13-001848-c</v>
      </c>
      <c r="C318" s="2" t="str">
        <f>HYPERLINK("https://my.zakupivli.pro/remote/dispatcher/state_contracting_view/9649637", "UA-2021-07-13-001848-c-c1")</f>
        <v>UA-2021-07-13-001848-c-c1</v>
      </c>
      <c r="D318" s="1" t="s">
        <v>749</v>
      </c>
      <c r="E318" s="1" t="s">
        <v>1211</v>
      </c>
      <c r="F318" s="1" t="s">
        <v>1211</v>
      </c>
      <c r="G318" s="1" t="s">
        <v>471</v>
      </c>
      <c r="H318" s="1" t="s">
        <v>894</v>
      </c>
      <c r="I318" s="1" t="s">
        <v>994</v>
      </c>
      <c r="J318" s="1" t="s">
        <v>216</v>
      </c>
      <c r="K318" s="1" t="s">
        <v>99</v>
      </c>
      <c r="L318" s="5">
        <v>360</v>
      </c>
      <c r="M318" s="1" t="s">
        <v>993</v>
      </c>
      <c r="N318" s="6">
        <v>44390</v>
      </c>
      <c r="O318" s="6">
        <v>44439</v>
      </c>
      <c r="P318" s="1" t="s">
        <v>1357</v>
      </c>
    </row>
    <row r="319" spans="1:16" hidden="1" x14ac:dyDescent="0.25">
      <c r="A319" s="4">
        <v>315</v>
      </c>
      <c r="B319" s="2" t="str">
        <f>HYPERLINK("https://my.zakupivli.pro/remote/dispatcher/state_purchase_view/29236657", "UA-2021-08-25-000996-a")</f>
        <v>UA-2021-08-25-000996-a</v>
      </c>
      <c r="C319" s="2" t="str">
        <f>HYPERLINK("https://my.zakupivli.pro/remote/dispatcher/state_contracting_view/10146077", "UA-2021-08-25-000996-a-a1")</f>
        <v>UA-2021-08-25-000996-a-a1</v>
      </c>
      <c r="D319" s="1" t="s">
        <v>55</v>
      </c>
      <c r="E319" s="1" t="s">
        <v>1207</v>
      </c>
      <c r="F319" s="1" t="s">
        <v>1208</v>
      </c>
      <c r="G319" s="1" t="s">
        <v>407</v>
      </c>
      <c r="H319" s="1" t="s">
        <v>894</v>
      </c>
      <c r="I319" s="1" t="s">
        <v>1025</v>
      </c>
      <c r="J319" s="1" t="s">
        <v>374</v>
      </c>
      <c r="K319" s="1" t="s">
        <v>44</v>
      </c>
      <c r="L319" s="5">
        <v>6000</v>
      </c>
      <c r="M319" s="1" t="s">
        <v>993</v>
      </c>
      <c r="N319" s="6">
        <v>44433</v>
      </c>
      <c r="O319" s="6">
        <v>44439</v>
      </c>
      <c r="P319" s="1" t="s">
        <v>1357</v>
      </c>
    </row>
    <row r="320" spans="1:16" hidden="1" x14ac:dyDescent="0.25">
      <c r="A320" s="4">
        <v>316</v>
      </c>
      <c r="B320" s="2" t="str">
        <f>HYPERLINK("https://my.zakupivli.pro/remote/dispatcher/state_purchase_view/28547414", "UA-2021-07-27-007480-b")</f>
        <v>UA-2021-07-27-007480-b</v>
      </c>
      <c r="C320" s="2" t="str">
        <f>HYPERLINK("https://my.zakupivli.pro/remote/dispatcher/state_contracting_view/9825193", "UA-2021-07-27-007480-b-b1")</f>
        <v>UA-2021-07-27-007480-b-b1</v>
      </c>
      <c r="D320" s="1" t="s">
        <v>246</v>
      </c>
      <c r="E320" s="1" t="s">
        <v>1315</v>
      </c>
      <c r="F320" s="1" t="s">
        <v>1315</v>
      </c>
      <c r="G320" s="1" t="s">
        <v>304</v>
      </c>
      <c r="H320" s="1" t="s">
        <v>894</v>
      </c>
      <c r="I320" s="1" t="s">
        <v>1290</v>
      </c>
      <c r="J320" s="1" t="s">
        <v>275</v>
      </c>
      <c r="K320" s="1" t="s">
        <v>124</v>
      </c>
      <c r="L320" s="5">
        <v>213</v>
      </c>
      <c r="M320" s="1" t="s">
        <v>993</v>
      </c>
      <c r="N320" s="6">
        <v>44404</v>
      </c>
      <c r="O320" s="6">
        <v>44438</v>
      </c>
      <c r="P320" s="1" t="s">
        <v>1357</v>
      </c>
    </row>
    <row r="321" spans="1:16" hidden="1" x14ac:dyDescent="0.25">
      <c r="A321" s="4">
        <v>317</v>
      </c>
      <c r="B321" s="2" t="str">
        <f>HYPERLINK("https://my.zakupivli.pro/remote/dispatcher/state_purchase_view/28540133", "UA-2021-07-27-004942-b")</f>
        <v>UA-2021-07-27-004942-b</v>
      </c>
      <c r="C321" s="2" t="str">
        <f>HYPERLINK("https://my.zakupivli.pro/remote/dispatcher/state_contracting_view/9821912", "UA-2021-07-27-004942-b-b1")</f>
        <v>UA-2021-07-27-004942-b-b1</v>
      </c>
      <c r="D321" s="1" t="s">
        <v>743</v>
      </c>
      <c r="E321" s="1" t="s">
        <v>1340</v>
      </c>
      <c r="F321" s="1" t="s">
        <v>1337</v>
      </c>
      <c r="G321" s="1" t="s">
        <v>408</v>
      </c>
      <c r="H321" s="1" t="s">
        <v>894</v>
      </c>
      <c r="I321" s="1" t="s">
        <v>1290</v>
      </c>
      <c r="J321" s="1" t="s">
        <v>275</v>
      </c>
      <c r="K321" s="1" t="s">
        <v>114</v>
      </c>
      <c r="L321" s="5">
        <v>638.5</v>
      </c>
      <c r="M321" s="1" t="s">
        <v>993</v>
      </c>
      <c r="N321" s="6">
        <v>44404</v>
      </c>
      <c r="O321" s="6">
        <v>44438</v>
      </c>
      <c r="P321" s="1" t="s">
        <v>1357</v>
      </c>
    </row>
    <row r="322" spans="1:16" hidden="1" x14ac:dyDescent="0.25">
      <c r="A322" s="4">
        <v>318</v>
      </c>
      <c r="B322" s="2" t="str">
        <f>HYPERLINK("https://my.zakupivli.pro/remote/dispatcher/state_purchase_view/28546182", "UA-2021-07-27-007007-b")</f>
        <v>UA-2021-07-27-007007-b</v>
      </c>
      <c r="C322" s="2" t="str">
        <f>HYPERLINK("https://my.zakupivli.pro/remote/dispatcher/state_contracting_view/9824431", "UA-2021-07-27-007007-b-b1")</f>
        <v>UA-2021-07-27-007007-b-b1</v>
      </c>
      <c r="D322" s="1" t="s">
        <v>753</v>
      </c>
      <c r="E322" s="1" t="s">
        <v>1004</v>
      </c>
      <c r="F322" s="1" t="s">
        <v>1004</v>
      </c>
      <c r="G322" s="1" t="s">
        <v>355</v>
      </c>
      <c r="H322" s="1" t="s">
        <v>894</v>
      </c>
      <c r="I322" s="1" t="s">
        <v>1290</v>
      </c>
      <c r="J322" s="1" t="s">
        <v>275</v>
      </c>
      <c r="K322" s="1" t="s">
        <v>124</v>
      </c>
      <c r="L322" s="5">
        <v>393</v>
      </c>
      <c r="M322" s="1" t="s">
        <v>993</v>
      </c>
      <c r="N322" s="6">
        <v>44404</v>
      </c>
      <c r="O322" s="6">
        <v>44438</v>
      </c>
      <c r="P322" s="1" t="s">
        <v>1357</v>
      </c>
    </row>
    <row r="323" spans="1:16" hidden="1" x14ac:dyDescent="0.25">
      <c r="A323" s="4">
        <v>319</v>
      </c>
      <c r="B323" s="2" t="str">
        <f>HYPERLINK("https://my.zakupivli.pro/remote/dispatcher/state_purchase_view/28545286", "UA-2021-07-27-006664-b")</f>
        <v>UA-2021-07-27-006664-b</v>
      </c>
      <c r="C323" s="2" t="str">
        <f>HYPERLINK("https://my.zakupivli.pro/remote/dispatcher/state_contracting_view/9824714", "UA-2021-07-27-006664-b-b1")</f>
        <v>UA-2021-07-27-006664-b-b1</v>
      </c>
      <c r="D323" s="1" t="s">
        <v>697</v>
      </c>
      <c r="E323" s="1" t="s">
        <v>1202</v>
      </c>
      <c r="F323" s="1" t="s">
        <v>1202</v>
      </c>
      <c r="G323" s="1" t="s">
        <v>356</v>
      </c>
      <c r="H323" s="1" t="s">
        <v>894</v>
      </c>
      <c r="I323" s="1" t="s">
        <v>1290</v>
      </c>
      <c r="J323" s="1" t="s">
        <v>275</v>
      </c>
      <c r="K323" s="1" t="s">
        <v>124</v>
      </c>
      <c r="L323" s="5">
        <v>5336.5</v>
      </c>
      <c r="M323" s="1" t="s">
        <v>993</v>
      </c>
      <c r="N323" s="6">
        <v>44404</v>
      </c>
      <c r="O323" s="6">
        <v>44438</v>
      </c>
      <c r="P323" s="1" t="s">
        <v>1357</v>
      </c>
    </row>
    <row r="324" spans="1:16" hidden="1" x14ac:dyDescent="0.25">
      <c r="A324" s="4">
        <v>320</v>
      </c>
      <c r="B324" s="2" t="str">
        <f>HYPERLINK("https://my.zakupivli.pro/remote/dispatcher/state_purchase_view/28540739", "UA-2021-07-27-005138-b")</f>
        <v>UA-2021-07-27-005138-b</v>
      </c>
      <c r="C324" s="2" t="str">
        <f>HYPERLINK("https://my.zakupivli.pro/remote/dispatcher/state_contracting_view/9821995", "UA-2021-07-27-005138-b-b1")</f>
        <v>UA-2021-07-27-005138-b-b1</v>
      </c>
      <c r="D324" s="1" t="s">
        <v>653</v>
      </c>
      <c r="E324" s="1" t="s">
        <v>954</v>
      </c>
      <c r="F324" s="1" t="s">
        <v>954</v>
      </c>
      <c r="G324" s="1" t="s">
        <v>399</v>
      </c>
      <c r="H324" s="1" t="s">
        <v>894</v>
      </c>
      <c r="I324" s="1" t="s">
        <v>1290</v>
      </c>
      <c r="J324" s="1" t="s">
        <v>275</v>
      </c>
      <c r="K324" s="1" t="s">
        <v>114</v>
      </c>
      <c r="L324" s="5">
        <v>665.9</v>
      </c>
      <c r="M324" s="1" t="s">
        <v>993</v>
      </c>
      <c r="N324" s="6">
        <v>44404</v>
      </c>
      <c r="O324" s="6">
        <v>44438</v>
      </c>
      <c r="P324" s="1" t="s">
        <v>1357</v>
      </c>
    </row>
    <row r="325" spans="1:16" hidden="1" x14ac:dyDescent="0.25">
      <c r="A325" s="4">
        <v>321</v>
      </c>
      <c r="B325" s="2" t="str">
        <f>HYPERLINK("https://my.zakupivli.pro/remote/dispatcher/state_purchase_view/28547107", "UA-2021-07-27-007340-b")</f>
        <v>UA-2021-07-27-007340-b</v>
      </c>
      <c r="C325" s="2" t="str">
        <f>HYPERLINK("https://my.zakupivli.pro/remote/dispatcher/state_contracting_view/9824859", "UA-2021-07-27-007340-b-b1")</f>
        <v>UA-2021-07-27-007340-b-b1</v>
      </c>
      <c r="D325" s="1" t="s">
        <v>792</v>
      </c>
      <c r="E325" s="1" t="s">
        <v>864</v>
      </c>
      <c r="F325" s="1" t="s">
        <v>864</v>
      </c>
      <c r="G325" s="1" t="s">
        <v>347</v>
      </c>
      <c r="H325" s="1" t="s">
        <v>894</v>
      </c>
      <c r="I325" s="1" t="s">
        <v>1290</v>
      </c>
      <c r="J325" s="1" t="s">
        <v>275</v>
      </c>
      <c r="K325" s="1" t="s">
        <v>124</v>
      </c>
      <c r="L325" s="5">
        <v>330</v>
      </c>
      <c r="M325" s="1" t="s">
        <v>993</v>
      </c>
      <c r="N325" s="6">
        <v>44404</v>
      </c>
      <c r="O325" s="6">
        <v>44438</v>
      </c>
      <c r="P325" s="1" t="s">
        <v>1357</v>
      </c>
    </row>
    <row r="326" spans="1:16" hidden="1" x14ac:dyDescent="0.25">
      <c r="A326" s="4">
        <v>322</v>
      </c>
      <c r="B326" s="2" t="str">
        <f>HYPERLINK("https://my.zakupivli.pro/remote/dispatcher/state_purchase_view/28546626", "UA-2021-07-27-007186-b")</f>
        <v>UA-2021-07-27-007186-b</v>
      </c>
      <c r="C326" s="2" t="str">
        <f>HYPERLINK("https://my.zakupivli.pro/remote/dispatcher/state_contracting_view/9824754", "UA-2021-07-27-007186-b-b1")</f>
        <v>UA-2021-07-27-007186-b-b1</v>
      </c>
      <c r="D326" s="1" t="s">
        <v>422</v>
      </c>
      <c r="E326" s="1" t="s">
        <v>1072</v>
      </c>
      <c r="F326" s="1" t="s">
        <v>1072</v>
      </c>
      <c r="G326" s="1" t="s">
        <v>132</v>
      </c>
      <c r="H326" s="1" t="s">
        <v>894</v>
      </c>
      <c r="I326" s="1" t="s">
        <v>1290</v>
      </c>
      <c r="J326" s="1" t="s">
        <v>275</v>
      </c>
      <c r="K326" s="1" t="s">
        <v>124</v>
      </c>
      <c r="L326" s="5">
        <v>1118</v>
      </c>
      <c r="M326" s="1" t="s">
        <v>993</v>
      </c>
      <c r="N326" s="6">
        <v>44404</v>
      </c>
      <c r="O326" s="6">
        <v>44438</v>
      </c>
      <c r="P326" s="1" t="s">
        <v>1357</v>
      </c>
    </row>
    <row r="327" spans="1:16" hidden="1" x14ac:dyDescent="0.25">
      <c r="A327" s="4">
        <v>323</v>
      </c>
      <c r="B327" s="2" t="str">
        <f>HYPERLINK("https://my.zakupivli.pro/remote/dispatcher/state_purchase_view/28540477", "UA-2021-07-27-005026-b")</f>
        <v>UA-2021-07-27-005026-b</v>
      </c>
      <c r="C327" s="2" t="str">
        <f>HYPERLINK("https://my.zakupivli.pro/remote/dispatcher/state_contracting_view/9822132", "UA-2021-07-27-005026-b-b1")</f>
        <v>UA-2021-07-27-005026-b-b1</v>
      </c>
      <c r="D327" s="1" t="s">
        <v>774</v>
      </c>
      <c r="E327" s="1" t="s">
        <v>966</v>
      </c>
      <c r="F327" s="1" t="s">
        <v>966</v>
      </c>
      <c r="G327" s="1" t="s">
        <v>409</v>
      </c>
      <c r="H327" s="1" t="s">
        <v>894</v>
      </c>
      <c r="I327" s="1" t="s">
        <v>1290</v>
      </c>
      <c r="J327" s="1" t="s">
        <v>275</v>
      </c>
      <c r="K327" s="1" t="s">
        <v>114</v>
      </c>
      <c r="L327" s="5">
        <v>1902.4</v>
      </c>
      <c r="M327" s="1" t="s">
        <v>993</v>
      </c>
      <c r="N327" s="6">
        <v>44404</v>
      </c>
      <c r="O327" s="6">
        <v>44438</v>
      </c>
      <c r="P327" s="1" t="s">
        <v>1357</v>
      </c>
    </row>
    <row r="328" spans="1:16" hidden="1" x14ac:dyDescent="0.25">
      <c r="A328" s="4">
        <v>324</v>
      </c>
      <c r="B328" s="2" t="str">
        <f>HYPERLINK("https://my.zakupivli.pro/remote/dispatcher/state_purchase_view/27074624", "UA-2021-06-01-010974-b")</f>
        <v>UA-2021-06-01-010974-b</v>
      </c>
      <c r="C328" s="2" t="str">
        <f>HYPERLINK("https://my.zakupivli.pro/remote/dispatcher/state_contracting_view/9127016", "UA-2021-06-01-010974-b-b1")</f>
        <v>UA-2021-06-01-010974-b-b1</v>
      </c>
      <c r="D328" s="1" t="s">
        <v>133</v>
      </c>
      <c r="E328" s="1" t="s">
        <v>1340</v>
      </c>
      <c r="F328" s="1" t="s">
        <v>1340</v>
      </c>
      <c r="G328" s="1" t="s">
        <v>408</v>
      </c>
      <c r="H328" s="1" t="s">
        <v>894</v>
      </c>
      <c r="I328" s="1" t="s">
        <v>1290</v>
      </c>
      <c r="J328" s="1" t="s">
        <v>275</v>
      </c>
      <c r="K328" s="1" t="s">
        <v>90</v>
      </c>
      <c r="L328" s="5">
        <v>8445</v>
      </c>
      <c r="M328" s="1" t="s">
        <v>993</v>
      </c>
      <c r="N328" s="6">
        <v>44348</v>
      </c>
      <c r="O328" s="6">
        <v>44377</v>
      </c>
      <c r="P328" s="1" t="s">
        <v>1357</v>
      </c>
    </row>
    <row r="329" spans="1:16" hidden="1" x14ac:dyDescent="0.25">
      <c r="A329" s="4">
        <v>325</v>
      </c>
      <c r="B329" s="2" t="str">
        <f>HYPERLINK("https://my.zakupivli.pro/remote/dispatcher/state_purchase_view/27074947", "UA-2021-06-01-011128-b")</f>
        <v>UA-2021-06-01-011128-b</v>
      </c>
      <c r="C329" s="2" t="str">
        <f>HYPERLINK("https://my.zakupivli.pro/remote/dispatcher/state_contracting_view/9127119", "UA-2021-06-01-011128-b-b1")</f>
        <v>UA-2021-06-01-011128-b-b1</v>
      </c>
      <c r="D329" s="1" t="s">
        <v>682</v>
      </c>
      <c r="E329" s="1" t="s">
        <v>966</v>
      </c>
      <c r="F329" s="1" t="s">
        <v>966</v>
      </c>
      <c r="G329" s="1" t="s">
        <v>409</v>
      </c>
      <c r="H329" s="1" t="s">
        <v>894</v>
      </c>
      <c r="I329" s="1" t="s">
        <v>1290</v>
      </c>
      <c r="J329" s="1" t="s">
        <v>275</v>
      </c>
      <c r="K329" s="1" t="s">
        <v>90</v>
      </c>
      <c r="L329" s="5">
        <v>2313.4</v>
      </c>
      <c r="M329" s="1" t="s">
        <v>993</v>
      </c>
      <c r="N329" s="6">
        <v>44348</v>
      </c>
      <c r="O329" s="6">
        <v>44377</v>
      </c>
      <c r="P329" s="1" t="s">
        <v>1357</v>
      </c>
    </row>
    <row r="330" spans="1:16" hidden="1" x14ac:dyDescent="0.25">
      <c r="A330" s="4">
        <v>326</v>
      </c>
      <c r="B330" s="2" t="str">
        <f>HYPERLINK("https://my.zakupivli.pro/remote/dispatcher/state_purchase_view/27075540", "UA-2021-06-01-011264-b")</f>
        <v>UA-2021-06-01-011264-b</v>
      </c>
      <c r="C330" s="2" t="str">
        <f>HYPERLINK("https://my.zakupivli.pro/remote/dispatcher/state_contracting_view/9127241", "UA-2021-06-01-011264-b-b1")</f>
        <v>UA-2021-06-01-011264-b-b1</v>
      </c>
      <c r="D330" s="1" t="s">
        <v>760</v>
      </c>
      <c r="E330" s="1" t="s">
        <v>965</v>
      </c>
      <c r="F330" s="1" t="s">
        <v>965</v>
      </c>
      <c r="G330" s="1" t="s">
        <v>405</v>
      </c>
      <c r="H330" s="1" t="s">
        <v>894</v>
      </c>
      <c r="I330" s="1" t="s">
        <v>1290</v>
      </c>
      <c r="J330" s="1" t="s">
        <v>275</v>
      </c>
      <c r="K330" s="1" t="s">
        <v>90</v>
      </c>
      <c r="L330" s="5">
        <v>230</v>
      </c>
      <c r="M330" s="1" t="s">
        <v>993</v>
      </c>
      <c r="N330" s="6">
        <v>44348</v>
      </c>
      <c r="O330" s="6">
        <v>44377</v>
      </c>
      <c r="P330" s="1" t="s">
        <v>1357</v>
      </c>
    </row>
    <row r="331" spans="1:16" hidden="1" x14ac:dyDescent="0.25">
      <c r="A331" s="4">
        <v>327</v>
      </c>
      <c r="B331" s="2" t="str">
        <f>HYPERLINK("https://my.zakupivli.pro/remote/dispatcher/state_purchase_view/27075846", "UA-2021-06-01-011338-b")</f>
        <v>UA-2021-06-01-011338-b</v>
      </c>
      <c r="C331" s="2" t="str">
        <f>HYPERLINK("https://my.zakupivli.pro/remote/dispatcher/state_contracting_view/9127549", "UA-2021-06-01-011338-b-b1")</f>
        <v>UA-2021-06-01-011338-b-b1</v>
      </c>
      <c r="D331" s="1" t="s">
        <v>453</v>
      </c>
      <c r="E331" s="1" t="s">
        <v>1354</v>
      </c>
      <c r="F331" s="1" t="s">
        <v>1354</v>
      </c>
      <c r="G331" s="1" t="s">
        <v>346</v>
      </c>
      <c r="H331" s="1" t="s">
        <v>894</v>
      </c>
      <c r="I331" s="1" t="s">
        <v>1290</v>
      </c>
      <c r="J331" s="1" t="s">
        <v>275</v>
      </c>
      <c r="K331" s="1" t="s">
        <v>90</v>
      </c>
      <c r="L331" s="5">
        <v>1500</v>
      </c>
      <c r="M331" s="1" t="s">
        <v>993</v>
      </c>
      <c r="N331" s="6">
        <v>44348</v>
      </c>
      <c r="O331" s="6">
        <v>44377</v>
      </c>
      <c r="P331" s="1" t="s">
        <v>1357</v>
      </c>
    </row>
    <row r="332" spans="1:16" hidden="1" x14ac:dyDescent="0.25">
      <c r="A332" s="4">
        <v>328</v>
      </c>
      <c r="B332" s="2" t="str">
        <f>HYPERLINK("https://my.zakupivli.pro/remote/dispatcher/state_purchase_view/27076058", "UA-2021-06-01-011427-b")</f>
        <v>UA-2021-06-01-011427-b</v>
      </c>
      <c r="C332" s="2" t="str">
        <f>HYPERLINK("https://my.zakupivli.pro/remote/dispatcher/state_contracting_view/9127590", "UA-2021-06-01-011427-b-b1")</f>
        <v>UA-2021-06-01-011427-b-b1</v>
      </c>
      <c r="D332" s="1" t="s">
        <v>654</v>
      </c>
      <c r="E332" s="1" t="s">
        <v>947</v>
      </c>
      <c r="F332" s="1" t="s">
        <v>947</v>
      </c>
      <c r="G332" s="1" t="s">
        <v>196</v>
      </c>
      <c r="H332" s="1" t="s">
        <v>894</v>
      </c>
      <c r="I332" s="1" t="s">
        <v>1290</v>
      </c>
      <c r="J332" s="1" t="s">
        <v>275</v>
      </c>
      <c r="K332" s="1" t="s">
        <v>90</v>
      </c>
      <c r="L332" s="5">
        <v>500</v>
      </c>
      <c r="M332" s="1" t="s">
        <v>993</v>
      </c>
      <c r="N332" s="6">
        <v>44348</v>
      </c>
      <c r="O332" s="6">
        <v>44377</v>
      </c>
      <c r="P332" s="1" t="s">
        <v>1357</v>
      </c>
    </row>
    <row r="333" spans="1:16" hidden="1" x14ac:dyDescent="0.25">
      <c r="A333" s="4">
        <v>329</v>
      </c>
      <c r="B333" s="2" t="str">
        <f>HYPERLINK("https://my.zakupivli.pro/remote/dispatcher/state_purchase_view/25773519", "UA-2021-04-13-004212-a")</f>
        <v>UA-2021-04-13-004212-a</v>
      </c>
      <c r="C333" s="2" t="str">
        <f>HYPERLINK("https://my.zakupivli.pro/remote/dispatcher/state_contracting_view/8505407", "UA-2021-04-13-004212-a-a1")</f>
        <v>UA-2021-04-13-004212-a-a1</v>
      </c>
      <c r="D333" s="1" t="s">
        <v>688</v>
      </c>
      <c r="E333" s="1" t="s">
        <v>1238</v>
      </c>
      <c r="F333" s="1" t="s">
        <v>1238</v>
      </c>
      <c r="G333" s="1" t="s">
        <v>340</v>
      </c>
      <c r="H333" s="1" t="s">
        <v>894</v>
      </c>
      <c r="I333" s="1" t="s">
        <v>1279</v>
      </c>
      <c r="J333" s="1" t="s">
        <v>373</v>
      </c>
      <c r="K333" s="1" t="s">
        <v>254</v>
      </c>
      <c r="L333" s="5">
        <v>2994</v>
      </c>
      <c r="M333" s="1" t="s">
        <v>1293</v>
      </c>
      <c r="N333" s="6">
        <v>44299</v>
      </c>
      <c r="O333" s="6">
        <v>44347</v>
      </c>
      <c r="P333" s="1" t="s">
        <v>1357</v>
      </c>
    </row>
    <row r="334" spans="1:16" hidden="1" x14ac:dyDescent="0.25">
      <c r="A334" s="4">
        <v>330</v>
      </c>
      <c r="B334" s="2" t="str">
        <f>HYPERLINK("https://my.zakupivli.pro/remote/dispatcher/state_purchase_view/25774029", "UA-2021-04-13-004385-a")</f>
        <v>UA-2021-04-13-004385-a</v>
      </c>
      <c r="C334" s="2" t="str">
        <f>HYPERLINK("https://my.zakupivli.pro/remote/dispatcher/state_contracting_view/8505577", "UA-2021-04-13-004385-a-a1")</f>
        <v>UA-2021-04-13-004385-a-a1</v>
      </c>
      <c r="D334" s="1" t="s">
        <v>136</v>
      </c>
      <c r="E334" s="1" t="s">
        <v>1007</v>
      </c>
      <c r="F334" s="1" t="s">
        <v>1007</v>
      </c>
      <c r="G334" s="1" t="s">
        <v>343</v>
      </c>
      <c r="H334" s="1" t="s">
        <v>894</v>
      </c>
      <c r="I334" s="1" t="s">
        <v>1279</v>
      </c>
      <c r="J334" s="1" t="s">
        <v>373</v>
      </c>
      <c r="K334" s="1" t="s">
        <v>254</v>
      </c>
      <c r="L334" s="5">
        <v>7130.4</v>
      </c>
      <c r="M334" s="1" t="s">
        <v>1293</v>
      </c>
      <c r="N334" s="6">
        <v>44299</v>
      </c>
      <c r="O334" s="6">
        <v>44347</v>
      </c>
      <c r="P334" s="1" t="s">
        <v>1357</v>
      </c>
    </row>
    <row r="335" spans="1:16" hidden="1" x14ac:dyDescent="0.25">
      <c r="A335" s="4">
        <v>331</v>
      </c>
      <c r="B335" s="2" t="str">
        <f>HYPERLINK("https://my.zakupivli.pro/remote/dispatcher/state_purchase_view/25731004", "UA-2021-04-12-002212-c")</f>
        <v>UA-2021-04-12-002212-c</v>
      </c>
      <c r="C335" s="2" t="str">
        <f>HYPERLINK("https://my.zakupivli.pro/remote/dispatcher/state_contracting_view/8485286", "UA-2021-04-12-002212-c-c1")</f>
        <v>UA-2021-04-12-002212-c-c1</v>
      </c>
      <c r="D335" s="1" t="s">
        <v>658</v>
      </c>
      <c r="E335" s="1" t="s">
        <v>882</v>
      </c>
      <c r="F335" s="1" t="s">
        <v>882</v>
      </c>
      <c r="G335" s="1" t="s">
        <v>165</v>
      </c>
      <c r="H335" s="1" t="s">
        <v>894</v>
      </c>
      <c r="I335" s="1" t="s">
        <v>962</v>
      </c>
      <c r="J335" s="1" t="s">
        <v>239</v>
      </c>
      <c r="K335" s="1" t="s">
        <v>210</v>
      </c>
      <c r="L335" s="5">
        <v>2195</v>
      </c>
      <c r="M335" s="1" t="s">
        <v>1293</v>
      </c>
      <c r="N335" s="6">
        <v>44298</v>
      </c>
      <c r="O335" s="6">
        <v>44316</v>
      </c>
      <c r="P335" s="1" t="s">
        <v>1357</v>
      </c>
    </row>
    <row r="336" spans="1:16" hidden="1" x14ac:dyDescent="0.25">
      <c r="A336" s="4">
        <v>332</v>
      </c>
      <c r="B336" s="2" t="str">
        <f>HYPERLINK("https://my.zakupivli.pro/remote/dispatcher/state_purchase_view/25755663", "UA-2021-04-13-001772-c")</f>
        <v>UA-2021-04-13-001772-c</v>
      </c>
      <c r="C336" s="2" t="str">
        <f>HYPERLINK("https://my.zakupivli.pro/remote/dispatcher/state_contracting_view/8497377", "UA-2021-04-13-001772-c-c1")</f>
        <v>UA-2021-04-13-001772-c-c1</v>
      </c>
      <c r="D336" s="1" t="s">
        <v>656</v>
      </c>
      <c r="E336" s="1" t="s">
        <v>1202</v>
      </c>
      <c r="F336" s="1" t="s">
        <v>1202</v>
      </c>
      <c r="G336" s="1" t="s">
        <v>356</v>
      </c>
      <c r="H336" s="1" t="s">
        <v>894</v>
      </c>
      <c r="I336" s="1" t="s">
        <v>1290</v>
      </c>
      <c r="J336" s="1" t="s">
        <v>275</v>
      </c>
      <c r="K336" s="1" t="s">
        <v>140</v>
      </c>
      <c r="L336" s="5">
        <v>10854.55</v>
      </c>
      <c r="M336" s="1" t="s">
        <v>993</v>
      </c>
      <c r="N336" s="6">
        <v>44299</v>
      </c>
      <c r="O336" s="6">
        <v>44316</v>
      </c>
      <c r="P336" s="1" t="s">
        <v>1357</v>
      </c>
    </row>
    <row r="337" spans="1:16" hidden="1" x14ac:dyDescent="0.25">
      <c r="A337" s="4">
        <v>333</v>
      </c>
      <c r="B337" s="2" t="str">
        <f>HYPERLINK("https://my.zakupivli.pro/remote/dispatcher/state_purchase_view/23528851", "UA-2021-02-02-004184-a")</f>
        <v>UA-2021-02-02-004184-a</v>
      </c>
      <c r="C337" s="2" t="str">
        <f>HYPERLINK("https://my.zakupivli.pro/remote/dispatcher/state_contracting_view/7450977", "UA-2021-02-02-004184-a-a1")</f>
        <v>UA-2021-02-02-004184-a-a1</v>
      </c>
      <c r="D337" s="1" t="s">
        <v>796</v>
      </c>
      <c r="E337" s="1" t="s">
        <v>936</v>
      </c>
      <c r="F337" s="1" t="s">
        <v>1006</v>
      </c>
      <c r="G337" s="1" t="s">
        <v>263</v>
      </c>
      <c r="H337" s="1" t="s">
        <v>894</v>
      </c>
      <c r="I337" s="1" t="s">
        <v>1282</v>
      </c>
      <c r="J337" s="1" t="s">
        <v>192</v>
      </c>
      <c r="K337" s="1" t="s">
        <v>61</v>
      </c>
      <c r="L337" s="5">
        <v>4312.26</v>
      </c>
      <c r="M337" s="1" t="s">
        <v>1293</v>
      </c>
      <c r="N337" s="6">
        <v>44229</v>
      </c>
      <c r="O337" s="6">
        <v>44253</v>
      </c>
      <c r="P337" s="1" t="s">
        <v>1357</v>
      </c>
    </row>
    <row r="338" spans="1:16" hidden="1" x14ac:dyDescent="0.25">
      <c r="A338" s="4">
        <v>334</v>
      </c>
      <c r="B338" s="2" t="str">
        <f>HYPERLINK("https://my.zakupivli.pro/remote/dispatcher/state_purchase_view/20582872", "UA-2020-10-29-002828-c")</f>
        <v>UA-2020-10-29-002828-c</v>
      </c>
      <c r="C338" s="2" t="str">
        <f>HYPERLINK("https://my.zakupivli.pro/remote/dispatcher/state_contracting_view/6111071", "UA-2020-10-29-002828-c-c1")</f>
        <v>UA-2020-10-29-002828-c-c1</v>
      </c>
      <c r="D338" s="1" t="s">
        <v>60</v>
      </c>
      <c r="E338" s="1" t="s">
        <v>934</v>
      </c>
      <c r="F338" s="1" t="s">
        <v>938</v>
      </c>
      <c r="G338" s="1" t="s">
        <v>263</v>
      </c>
      <c r="H338" s="1" t="s">
        <v>894</v>
      </c>
      <c r="I338" s="1" t="s">
        <v>1282</v>
      </c>
      <c r="J338" s="1" t="s">
        <v>192</v>
      </c>
      <c r="K338" s="1" t="s">
        <v>307</v>
      </c>
      <c r="L338" s="5">
        <v>653.4</v>
      </c>
      <c r="M338" s="1" t="s">
        <v>1293</v>
      </c>
      <c r="N338" s="6">
        <v>44133</v>
      </c>
      <c r="O338" s="6">
        <v>44196</v>
      </c>
      <c r="P338" s="1" t="s">
        <v>1357</v>
      </c>
    </row>
    <row r="339" spans="1:16" hidden="1" x14ac:dyDescent="0.25">
      <c r="A339" s="4">
        <v>335</v>
      </c>
      <c r="B339" s="2" t="str">
        <f>HYPERLINK("https://my.zakupivli.pro/remote/dispatcher/state_purchase_view/21882514", "UA-2020-12-08-008910-c")</f>
        <v>UA-2020-12-08-008910-c</v>
      </c>
      <c r="C339" s="2" t="str">
        <f>HYPERLINK("https://my.zakupivli.pro/remote/dispatcher/state_contracting_view/6718998", "UA-2020-12-08-008910-c-c1")</f>
        <v>UA-2020-12-08-008910-c-c1</v>
      </c>
      <c r="D339" s="1" t="s">
        <v>699</v>
      </c>
      <c r="E339" s="1" t="s">
        <v>1120</v>
      </c>
      <c r="F339" s="1" t="s">
        <v>1120</v>
      </c>
      <c r="G339" s="1" t="s">
        <v>466</v>
      </c>
      <c r="H339" s="1" t="s">
        <v>894</v>
      </c>
      <c r="I339" s="1" t="s">
        <v>835</v>
      </c>
      <c r="J339" s="1" t="s">
        <v>225</v>
      </c>
      <c r="K339" s="1" t="s">
        <v>310</v>
      </c>
      <c r="L339" s="5">
        <v>3790</v>
      </c>
      <c r="M339" s="1" t="s">
        <v>993</v>
      </c>
      <c r="N339" s="6">
        <v>44173</v>
      </c>
      <c r="O339" s="6">
        <v>44196</v>
      </c>
      <c r="P339" s="1" t="s">
        <v>1357</v>
      </c>
    </row>
    <row r="340" spans="1:16" hidden="1" x14ac:dyDescent="0.25">
      <c r="A340" s="4">
        <v>336</v>
      </c>
      <c r="B340" s="2" t="str">
        <f>HYPERLINK("https://my.zakupivli.pro/remote/dispatcher/state_purchase_view/19565291", "UA-2020-09-24-005243-a")</f>
        <v>UA-2020-09-24-005243-a</v>
      </c>
      <c r="C340" s="2" t="str">
        <f>HYPERLINK("https://my.zakupivli.pro/remote/dispatcher/state_contracting_view/5623710", "UA-2020-09-24-005243-a-a1")</f>
        <v>UA-2020-09-24-005243-a-a1</v>
      </c>
      <c r="D340" s="1" t="s">
        <v>649</v>
      </c>
      <c r="E340" s="1" t="s">
        <v>1196</v>
      </c>
      <c r="F340" s="1" t="s">
        <v>1196</v>
      </c>
      <c r="G340" s="1" t="s">
        <v>53</v>
      </c>
      <c r="H340" s="1" t="s">
        <v>894</v>
      </c>
      <c r="I340" s="1" t="s">
        <v>1276</v>
      </c>
      <c r="J340" s="1" t="s">
        <v>384</v>
      </c>
      <c r="K340" s="1" t="s">
        <v>161</v>
      </c>
      <c r="L340" s="5">
        <v>16005.8</v>
      </c>
      <c r="M340" s="1" t="s">
        <v>1293</v>
      </c>
      <c r="N340" s="6">
        <v>44098</v>
      </c>
      <c r="O340" s="6">
        <v>44196</v>
      </c>
      <c r="P340" s="1" t="s">
        <v>1357</v>
      </c>
    </row>
    <row r="341" spans="1:16" hidden="1" x14ac:dyDescent="0.25">
      <c r="A341" s="4">
        <v>337</v>
      </c>
      <c r="B341" s="2" t="str">
        <f>HYPERLINK("https://my.zakupivli.pro/remote/dispatcher/state_purchase_view/19567926", "UA-2020-09-24-006156-a")</f>
        <v>UA-2020-09-24-006156-a</v>
      </c>
      <c r="C341" s="2" t="str">
        <f>HYPERLINK("https://my.zakupivli.pro/remote/dispatcher/state_contracting_view/5625072", "UA-2020-09-24-006156-a-a1")</f>
        <v>UA-2020-09-24-006156-a-a1</v>
      </c>
      <c r="D341" s="1" t="s">
        <v>548</v>
      </c>
      <c r="E341" s="1" t="s">
        <v>7</v>
      </c>
      <c r="F341" s="1" t="s">
        <v>7</v>
      </c>
      <c r="G341" s="1" t="s">
        <v>522</v>
      </c>
      <c r="H341" s="1" t="s">
        <v>894</v>
      </c>
      <c r="I341" s="1" t="s">
        <v>818</v>
      </c>
      <c r="J341" s="1" t="s">
        <v>10</v>
      </c>
      <c r="K341" s="1" t="s">
        <v>160</v>
      </c>
      <c r="L341" s="5">
        <v>263.57</v>
      </c>
      <c r="M341" s="1" t="s">
        <v>1293</v>
      </c>
      <c r="N341" s="6">
        <v>44098</v>
      </c>
      <c r="O341" s="6">
        <v>44196</v>
      </c>
      <c r="P341" s="1" t="s">
        <v>1357</v>
      </c>
    </row>
    <row r="342" spans="1:16" hidden="1" x14ac:dyDescent="0.25">
      <c r="A342" s="4">
        <v>338</v>
      </c>
      <c r="B342" s="2" t="str">
        <f>HYPERLINK("https://my.zakupivli.pro/remote/dispatcher/state_purchase_view/19377814", "UA-2020-09-17-010195-a")</f>
        <v>UA-2020-09-17-010195-a</v>
      </c>
      <c r="C342" s="2" t="str">
        <f>HYPERLINK("https://my.zakupivli.pro/remote/dispatcher/state_contracting_view/5536074", "UA-2020-09-17-010195-a-a1")</f>
        <v>UA-2020-09-17-010195-a-a1</v>
      </c>
      <c r="D342" s="1" t="s">
        <v>135</v>
      </c>
      <c r="E342" s="1" t="s">
        <v>1348</v>
      </c>
      <c r="F342" s="1" t="s">
        <v>1348</v>
      </c>
      <c r="G342" s="1" t="s">
        <v>469</v>
      </c>
      <c r="H342" s="1" t="s">
        <v>894</v>
      </c>
      <c r="I342" s="1" t="s">
        <v>1071</v>
      </c>
      <c r="J342" s="1" t="s">
        <v>330</v>
      </c>
      <c r="K342" s="1" t="s">
        <v>428</v>
      </c>
      <c r="L342" s="5">
        <v>2400</v>
      </c>
      <c r="M342" s="1" t="s">
        <v>1293</v>
      </c>
      <c r="N342" s="6">
        <v>44091</v>
      </c>
      <c r="O342" s="6">
        <v>44196</v>
      </c>
      <c r="P342" s="1" t="s">
        <v>1357</v>
      </c>
    </row>
    <row r="343" spans="1:16" hidden="1" x14ac:dyDescent="0.25">
      <c r="A343" s="4">
        <v>339</v>
      </c>
      <c r="B343" s="2" t="str">
        <f>HYPERLINK("https://my.zakupivli.pro/remote/dispatcher/state_purchase_view/19482052", "UA-2020-09-22-006278-b")</f>
        <v>UA-2020-09-22-006278-b</v>
      </c>
      <c r="C343" s="2" t="str">
        <f>HYPERLINK("https://my.zakupivli.pro/remote/dispatcher/state_contracting_view/5584245", "UA-2020-09-22-006278-b-b1")</f>
        <v>UA-2020-09-22-006278-b-b1</v>
      </c>
      <c r="D343" s="1" t="s">
        <v>234</v>
      </c>
      <c r="E343" s="1" t="s">
        <v>837</v>
      </c>
      <c r="F343" s="1" t="s">
        <v>837</v>
      </c>
      <c r="G343" s="1" t="s">
        <v>267</v>
      </c>
      <c r="H343" s="1" t="s">
        <v>894</v>
      </c>
      <c r="I343" s="1" t="s">
        <v>1263</v>
      </c>
      <c r="J343" s="1" t="s">
        <v>206</v>
      </c>
      <c r="K343" s="1" t="s">
        <v>61</v>
      </c>
      <c r="L343" s="5">
        <v>10200</v>
      </c>
      <c r="M343" s="1" t="s">
        <v>1293</v>
      </c>
      <c r="N343" s="6">
        <v>44096</v>
      </c>
      <c r="O343" s="6">
        <v>44196</v>
      </c>
      <c r="P343" s="1" t="s">
        <v>1357</v>
      </c>
    </row>
    <row r="344" spans="1:16" hidden="1" x14ac:dyDescent="0.25">
      <c r="A344" s="4">
        <v>340</v>
      </c>
      <c r="B344" s="2" t="str">
        <f>HYPERLINK("https://my.zakupivli.pro/remote/dispatcher/state_purchase_view/20707443", "UA-2020-11-03-007160-c")</f>
        <v>UA-2020-11-03-007160-c</v>
      </c>
      <c r="C344" s="2" t="str">
        <f>HYPERLINK("https://my.zakupivli.pro/remote/dispatcher/state_contracting_view/6168455", "UA-2020-11-03-007160-c-c1")</f>
        <v>UA-2020-11-03-007160-c-c1</v>
      </c>
      <c r="D344" s="1" t="s">
        <v>250</v>
      </c>
      <c r="E344" s="1" t="s">
        <v>1120</v>
      </c>
      <c r="F344" s="1" t="s">
        <v>1122</v>
      </c>
      <c r="G344" s="1" t="s">
        <v>466</v>
      </c>
      <c r="H344" s="1" t="s">
        <v>894</v>
      </c>
      <c r="I344" s="1" t="s">
        <v>835</v>
      </c>
      <c r="J344" s="1" t="s">
        <v>225</v>
      </c>
      <c r="K344" s="1" t="s">
        <v>307</v>
      </c>
      <c r="L344" s="5">
        <v>11370</v>
      </c>
      <c r="M344" s="1" t="s">
        <v>993</v>
      </c>
      <c r="N344" s="6">
        <v>44138</v>
      </c>
      <c r="O344" s="6">
        <v>44196</v>
      </c>
      <c r="P344" s="1" t="s">
        <v>1357</v>
      </c>
    </row>
    <row r="345" spans="1:16" hidden="1" x14ac:dyDescent="0.25">
      <c r="A345" s="4">
        <v>341</v>
      </c>
      <c r="B345" s="2" t="str">
        <f>HYPERLINK("https://my.zakupivli.pro/remote/dispatcher/state_purchase_view/19569207", "UA-2020-09-24-006600-a")</f>
        <v>UA-2020-09-24-006600-a</v>
      </c>
      <c r="C345" s="2" t="str">
        <f>HYPERLINK("https://my.zakupivli.pro/remote/dispatcher/state_contracting_view/5626567", "UA-2020-09-24-006600-a-a1")</f>
        <v>UA-2020-09-24-006600-a-a1</v>
      </c>
      <c r="D345" s="1" t="s">
        <v>616</v>
      </c>
      <c r="E345" s="1" t="s">
        <v>1092</v>
      </c>
      <c r="F345" s="1" t="s">
        <v>847</v>
      </c>
      <c r="G345" s="1" t="s">
        <v>632</v>
      </c>
      <c r="H345" s="1" t="s">
        <v>894</v>
      </c>
      <c r="I345" s="1" t="s">
        <v>1019</v>
      </c>
      <c r="J345" s="1" t="s">
        <v>36</v>
      </c>
      <c r="K345" s="1" t="s">
        <v>663</v>
      </c>
      <c r="L345" s="5">
        <v>1921.32</v>
      </c>
      <c r="M345" s="1" t="s">
        <v>1293</v>
      </c>
      <c r="N345" s="6">
        <v>44098</v>
      </c>
      <c r="O345" s="6">
        <v>44196</v>
      </c>
      <c r="P345" s="1" t="s">
        <v>1357</v>
      </c>
    </row>
    <row r="346" spans="1:16" hidden="1" x14ac:dyDescent="0.25">
      <c r="A346" s="4">
        <v>342</v>
      </c>
      <c r="B346" s="2" t="str">
        <f>HYPERLINK("https://my.zakupivli.pro/remote/dispatcher/state_purchase_view/20954211", "UA-2020-11-11-001519-a")</f>
        <v>UA-2020-11-11-001519-a</v>
      </c>
      <c r="C346" s="2" t="str">
        <f>HYPERLINK("https://my.zakupivli.pro/remote/dispatcher/state_contracting_view/6322137", "UA-2020-11-11-001519-a-a1")</f>
        <v>UA-2020-11-11-001519-a-a1</v>
      </c>
      <c r="D346" s="1" t="s">
        <v>586</v>
      </c>
      <c r="E346" s="1" t="s">
        <v>810</v>
      </c>
      <c r="F346" s="1" t="s">
        <v>810</v>
      </c>
      <c r="G346" s="1" t="s">
        <v>575</v>
      </c>
      <c r="H346" s="1" t="s">
        <v>894</v>
      </c>
      <c r="I346" s="1" t="s">
        <v>1016</v>
      </c>
      <c r="J346" s="1" t="s">
        <v>32</v>
      </c>
      <c r="K346" s="1" t="s">
        <v>307</v>
      </c>
      <c r="L346" s="5">
        <v>1680</v>
      </c>
      <c r="M346" s="1" t="s">
        <v>1293</v>
      </c>
      <c r="N346" s="6">
        <v>44146</v>
      </c>
      <c r="O346" s="6">
        <v>44196</v>
      </c>
      <c r="P346" s="1" t="s">
        <v>1357</v>
      </c>
    </row>
    <row r="347" spans="1:16" hidden="1" x14ac:dyDescent="0.25">
      <c r="A347" s="4">
        <v>343</v>
      </c>
      <c r="B347" s="2" t="str">
        <f>HYPERLINK("https://my.zakupivli.pro/remote/dispatcher/state_purchase_view/19394503", "UA-2020-09-18-003052-a")</f>
        <v>UA-2020-09-18-003052-a</v>
      </c>
      <c r="C347" s="2" t="str">
        <f>HYPERLINK("https://my.zakupivli.pro/remote/dispatcher/state_contracting_view/5543536", "UA-2020-09-18-003052-a-a1")</f>
        <v>UA-2020-09-18-003052-a-a1</v>
      </c>
      <c r="D347" s="1" t="s">
        <v>499</v>
      </c>
      <c r="E347" s="1" t="s">
        <v>1200</v>
      </c>
      <c r="F347" s="1" t="s">
        <v>1172</v>
      </c>
      <c r="G347" s="1" t="s">
        <v>438</v>
      </c>
      <c r="H347" s="1" t="s">
        <v>894</v>
      </c>
      <c r="I347" s="1" t="s">
        <v>929</v>
      </c>
      <c r="J347" s="1" t="s">
        <v>207</v>
      </c>
      <c r="K347" s="1" t="s">
        <v>1369</v>
      </c>
      <c r="L347" s="5">
        <v>1500</v>
      </c>
      <c r="M347" s="1" t="s">
        <v>993</v>
      </c>
      <c r="N347" s="6">
        <v>44092</v>
      </c>
      <c r="O347" s="6">
        <v>44196</v>
      </c>
      <c r="P347" s="1" t="s">
        <v>1357</v>
      </c>
    </row>
    <row r="348" spans="1:16" hidden="1" x14ac:dyDescent="0.25">
      <c r="A348" s="4">
        <v>344</v>
      </c>
      <c r="B348" s="2" t="str">
        <f>HYPERLINK("https://my.zakupivli.pro/remote/dispatcher/state_purchase_view/21326197", "UA-2020-11-23-004911-c")</f>
        <v>UA-2020-11-23-004911-c</v>
      </c>
      <c r="C348" s="2" t="str">
        <f>HYPERLINK("https://my.zakupivli.pro/remote/dispatcher/state_contracting_view/6459812", "UA-2020-11-23-004911-c-c1")</f>
        <v>UA-2020-11-23-004911-c-c1</v>
      </c>
      <c r="D348" s="1" t="s">
        <v>606</v>
      </c>
      <c r="E348" s="1" t="s">
        <v>913</v>
      </c>
      <c r="F348" s="1" t="s">
        <v>913</v>
      </c>
      <c r="G348" s="1" t="s">
        <v>291</v>
      </c>
      <c r="H348" s="1" t="s">
        <v>894</v>
      </c>
      <c r="I348" s="1" t="s">
        <v>929</v>
      </c>
      <c r="J348" s="1" t="s">
        <v>207</v>
      </c>
      <c r="K348" s="1" t="s">
        <v>1370</v>
      </c>
      <c r="L348" s="5">
        <v>795</v>
      </c>
      <c r="M348" s="1" t="s">
        <v>993</v>
      </c>
      <c r="N348" s="6">
        <v>44158</v>
      </c>
      <c r="O348" s="6">
        <v>44196</v>
      </c>
      <c r="P348" s="1" t="s">
        <v>1357</v>
      </c>
    </row>
    <row r="349" spans="1:16" hidden="1" x14ac:dyDescent="0.25">
      <c r="A349" s="4">
        <v>345</v>
      </c>
      <c r="B349" s="2" t="str">
        <f>HYPERLINK("https://my.zakupivli.pro/remote/dispatcher/state_purchase_view/19556959", "UA-2020-09-24-002313-a")</f>
        <v>UA-2020-09-24-002313-a</v>
      </c>
      <c r="C349" s="2" t="str">
        <f>HYPERLINK("https://my.zakupivli.pro/remote/dispatcher/state_contracting_view/5621210", "UA-2020-09-24-002313-a-a1")</f>
        <v>UA-2020-09-24-002313-a-a1</v>
      </c>
      <c r="D349" s="1" t="s">
        <v>545</v>
      </c>
      <c r="E349" s="1" t="s">
        <v>987</v>
      </c>
      <c r="F349" s="1" t="s">
        <v>987</v>
      </c>
      <c r="G349" s="1" t="s">
        <v>521</v>
      </c>
      <c r="H349" s="1" t="s">
        <v>894</v>
      </c>
      <c r="I349" s="1" t="s">
        <v>920</v>
      </c>
      <c r="J349" s="1" t="s">
        <v>37</v>
      </c>
      <c r="K349" s="1" t="s">
        <v>624</v>
      </c>
      <c r="L349" s="5">
        <v>4555.32</v>
      </c>
      <c r="M349" s="1" t="s">
        <v>1293</v>
      </c>
      <c r="N349" s="6">
        <v>44096</v>
      </c>
      <c r="O349" s="6">
        <v>44196</v>
      </c>
      <c r="P349" s="1" t="s">
        <v>1357</v>
      </c>
    </row>
    <row r="350" spans="1:16" hidden="1" x14ac:dyDescent="0.25">
      <c r="A350" s="4">
        <v>346</v>
      </c>
      <c r="B350" s="2" t="str">
        <f>HYPERLINK("https://my.zakupivli.pro/remote/dispatcher/state_purchase_view/19451160", "UA-2020-09-21-008969-b")</f>
        <v>UA-2020-09-21-008969-b</v>
      </c>
      <c r="C350" s="2" t="str">
        <f>HYPERLINK("https://my.zakupivli.pro/remote/dispatcher/state_contracting_view/5569707", "UA-2020-09-21-008969-b-b1")</f>
        <v>UA-2020-09-21-008969-b-b1</v>
      </c>
      <c r="D350" s="1" t="s">
        <v>489</v>
      </c>
      <c r="E350" s="1" t="s">
        <v>957</v>
      </c>
      <c r="F350" s="1" t="s">
        <v>957</v>
      </c>
      <c r="G350" s="1" t="s">
        <v>553</v>
      </c>
      <c r="H350" s="1" t="s">
        <v>894</v>
      </c>
      <c r="I350" s="1" t="s">
        <v>1021</v>
      </c>
      <c r="J350" s="1" t="s">
        <v>279</v>
      </c>
      <c r="K350" s="1" t="s">
        <v>299</v>
      </c>
      <c r="L350" s="5">
        <v>1200</v>
      </c>
      <c r="M350" s="1" t="s">
        <v>993</v>
      </c>
      <c r="N350" s="6">
        <v>44095</v>
      </c>
      <c r="O350" s="6">
        <v>44196</v>
      </c>
      <c r="P350" s="1" t="s">
        <v>1357</v>
      </c>
    </row>
    <row r="351" spans="1:16" hidden="1" x14ac:dyDescent="0.25">
      <c r="A351" s="4">
        <v>347</v>
      </c>
      <c r="B351" s="2" t="str">
        <f>HYPERLINK("https://my.zakupivli.pro/remote/dispatcher/state_purchase_view/21860706", "UA-2020-12-08-002632-c")</f>
        <v>UA-2020-12-08-002632-c</v>
      </c>
      <c r="C351" s="2" t="str">
        <f>HYPERLINK("https://my.zakupivli.pro/remote/dispatcher/state_contracting_view/6708833", "UA-2020-12-08-002632-c-c1")</f>
        <v>UA-2020-12-08-002632-c-c1</v>
      </c>
      <c r="D351" s="1" t="s">
        <v>480</v>
      </c>
      <c r="E351" s="1" t="s">
        <v>1355</v>
      </c>
      <c r="F351" s="1" t="s">
        <v>1355</v>
      </c>
      <c r="G351" s="1" t="s">
        <v>573</v>
      </c>
      <c r="H351" s="1" t="s">
        <v>894</v>
      </c>
      <c r="I351" s="1" t="s">
        <v>817</v>
      </c>
      <c r="J351" s="1" t="s">
        <v>390</v>
      </c>
      <c r="K351" s="1" t="s">
        <v>307</v>
      </c>
      <c r="L351" s="5">
        <v>1000</v>
      </c>
      <c r="M351" s="1" t="s">
        <v>993</v>
      </c>
      <c r="N351" s="6">
        <v>44173</v>
      </c>
      <c r="O351" s="6">
        <v>44196</v>
      </c>
      <c r="P351" s="1" t="s">
        <v>1357</v>
      </c>
    </row>
    <row r="352" spans="1:16" hidden="1" x14ac:dyDescent="0.25">
      <c r="A352" s="4">
        <v>348</v>
      </c>
      <c r="B352" s="2" t="str">
        <f>HYPERLINK("https://my.zakupivli.pro/remote/dispatcher/state_purchase_view/20561660", "UA-2020-10-28-006899-c")</f>
        <v>UA-2020-10-28-006899-c</v>
      </c>
      <c r="C352" s="2" t="str">
        <f>HYPERLINK("https://my.zakupivli.pro/remote/dispatcher/state_contracting_view/6100119", "UA-2020-10-28-006899-c-c1")</f>
        <v>UA-2020-10-28-006899-c-c1</v>
      </c>
      <c r="D352" s="1" t="s">
        <v>741</v>
      </c>
      <c r="E352" s="1" t="s">
        <v>1302</v>
      </c>
      <c r="F352" s="1" t="s">
        <v>1302</v>
      </c>
      <c r="G352" s="1" t="s">
        <v>465</v>
      </c>
      <c r="H352" s="1" t="s">
        <v>894</v>
      </c>
      <c r="I352" s="1" t="s">
        <v>1229</v>
      </c>
      <c r="J352" s="1" t="s">
        <v>231</v>
      </c>
      <c r="K352" s="1" t="s">
        <v>307</v>
      </c>
      <c r="L352" s="5">
        <v>5440</v>
      </c>
      <c r="M352" s="1" t="s">
        <v>993</v>
      </c>
      <c r="N352" s="6">
        <v>44132</v>
      </c>
      <c r="O352" s="6">
        <v>44196</v>
      </c>
      <c r="P352" s="1" t="s">
        <v>1357</v>
      </c>
    </row>
    <row r="353" spans="1:16" hidden="1" x14ac:dyDescent="0.25">
      <c r="A353" s="4">
        <v>349</v>
      </c>
      <c r="B353" s="2" t="str">
        <f>HYPERLINK("https://my.zakupivli.pro/remote/dispatcher/state_purchase_view/20703834", "UA-2020-11-03-006139-c")</f>
        <v>UA-2020-11-03-006139-c</v>
      </c>
      <c r="C353" s="2" t="str">
        <f>HYPERLINK("https://my.zakupivli.pro/remote/dispatcher/state_contracting_view/6166802", "UA-2020-11-03-006139-c-c1")</f>
        <v>UA-2020-11-03-006139-c-c1</v>
      </c>
      <c r="D353" s="1" t="s">
        <v>707</v>
      </c>
      <c r="E353" s="1" t="s">
        <v>1040</v>
      </c>
      <c r="F353" s="1" t="s">
        <v>1362</v>
      </c>
      <c r="G353" s="1" t="s">
        <v>169</v>
      </c>
      <c r="H353" s="1" t="s">
        <v>894</v>
      </c>
      <c r="I353" s="1" t="s">
        <v>805</v>
      </c>
      <c r="J353" s="1" t="s">
        <v>193</v>
      </c>
      <c r="K353" s="1" t="s">
        <v>218</v>
      </c>
      <c r="L353" s="5">
        <v>2835</v>
      </c>
      <c r="M353" s="1" t="s">
        <v>993</v>
      </c>
      <c r="N353" s="6">
        <v>44138</v>
      </c>
      <c r="O353" s="6">
        <v>44196</v>
      </c>
      <c r="P353" s="1" t="s">
        <v>1357</v>
      </c>
    </row>
    <row r="354" spans="1:16" hidden="1" x14ac:dyDescent="0.25">
      <c r="A354" s="4">
        <v>350</v>
      </c>
      <c r="B354" s="2" t="str">
        <f>HYPERLINK("https://my.zakupivli.pro/remote/dispatcher/state_purchase_view/19540853", "UA-2020-09-23-011966-b")</f>
        <v>UA-2020-09-23-011966-b</v>
      </c>
      <c r="C354" s="2" t="str">
        <f>HYPERLINK("https://my.zakupivli.pro/remote/dispatcher/state_contracting_view/5614551", "UA-2020-09-23-011966-b-b1")</f>
        <v>UA-2020-09-23-011966-b-b1</v>
      </c>
      <c r="D354" s="1" t="s">
        <v>642</v>
      </c>
      <c r="E354" s="1" t="s">
        <v>1141</v>
      </c>
      <c r="F354" s="1" t="s">
        <v>1142</v>
      </c>
      <c r="G354" s="1" t="s">
        <v>54</v>
      </c>
      <c r="H354" s="1" t="s">
        <v>894</v>
      </c>
      <c r="I354" s="1" t="s">
        <v>1020</v>
      </c>
      <c r="J354" s="1" t="s">
        <v>35</v>
      </c>
      <c r="K354" s="1" t="s">
        <v>463</v>
      </c>
      <c r="L354" s="5">
        <v>150000</v>
      </c>
      <c r="M354" s="1" t="s">
        <v>1293</v>
      </c>
      <c r="N354" s="6">
        <v>44096</v>
      </c>
      <c r="O354" s="6">
        <v>44196</v>
      </c>
      <c r="P354" s="1" t="s">
        <v>1357</v>
      </c>
    </row>
    <row r="355" spans="1:16" hidden="1" x14ac:dyDescent="0.25">
      <c r="A355" s="4">
        <v>351</v>
      </c>
      <c r="B355" s="2" t="str">
        <f>HYPERLINK("https://my.zakupivli.pro/remote/dispatcher/state_purchase_view/22424243", "UA-2020-12-21-001400-c")</f>
        <v>UA-2020-12-21-001400-c</v>
      </c>
      <c r="C355" s="2" t="str">
        <f>HYPERLINK("https://my.zakupivli.pro/remote/dispatcher/state_contracting_view/6979707", "UA-2020-12-21-001400-c-c1")</f>
        <v>UA-2020-12-21-001400-c-c1</v>
      </c>
      <c r="D355" s="1" t="s">
        <v>329</v>
      </c>
      <c r="E355" s="1" t="s">
        <v>1147</v>
      </c>
      <c r="F355" s="1" t="s">
        <v>554</v>
      </c>
      <c r="G355" s="1" t="s">
        <v>554</v>
      </c>
      <c r="H355" s="1" t="s">
        <v>894</v>
      </c>
      <c r="I355" s="1" t="s">
        <v>830</v>
      </c>
      <c r="J355" s="1" t="s">
        <v>232</v>
      </c>
      <c r="K355" s="1" t="s">
        <v>307</v>
      </c>
      <c r="L355" s="5">
        <v>7200</v>
      </c>
      <c r="M355" s="1" t="s">
        <v>993</v>
      </c>
      <c r="N355" s="6">
        <v>44186</v>
      </c>
      <c r="O355" s="6">
        <v>44196</v>
      </c>
      <c r="P355" s="1" t="s">
        <v>1357</v>
      </c>
    </row>
    <row r="356" spans="1:16" hidden="1" x14ac:dyDescent="0.25">
      <c r="A356" s="4">
        <v>352</v>
      </c>
      <c r="B356" s="2" t="str">
        <f>HYPERLINK("https://my.zakupivli.pro/remote/dispatcher/state_purchase_view/21321854", "UA-2020-11-23-003452-c")</f>
        <v>UA-2020-11-23-003452-c</v>
      </c>
      <c r="C356" s="2" t="str">
        <f>HYPERLINK("https://my.zakupivli.pro/remote/dispatcher/state_contracting_view/6457441", "UA-2020-11-23-003452-c-c1")</f>
        <v>UA-2020-11-23-003452-c-c1</v>
      </c>
      <c r="D356" s="1" t="s">
        <v>793</v>
      </c>
      <c r="E356" s="1" t="s">
        <v>992</v>
      </c>
      <c r="F356" s="1" t="s">
        <v>992</v>
      </c>
      <c r="G356" s="1" t="s">
        <v>266</v>
      </c>
      <c r="H356" s="1" t="s">
        <v>894</v>
      </c>
      <c r="I356" s="1" t="s">
        <v>977</v>
      </c>
      <c r="J356" s="1" t="s">
        <v>269</v>
      </c>
      <c r="K356" s="1" t="s">
        <v>77</v>
      </c>
      <c r="L356" s="5">
        <v>18496.8</v>
      </c>
      <c r="M356" s="1" t="s">
        <v>1293</v>
      </c>
      <c r="N356" s="6">
        <v>44158</v>
      </c>
      <c r="O356" s="6">
        <v>44196</v>
      </c>
      <c r="P356" s="1" t="s">
        <v>1357</v>
      </c>
    </row>
    <row r="357" spans="1:16" hidden="1" x14ac:dyDescent="0.25">
      <c r="A357" s="4">
        <v>353</v>
      </c>
      <c r="B357" s="2" t="str">
        <f>HYPERLINK("https://my.zakupivli.pro/remote/dispatcher/state_purchase_view/19485410", "UA-2020-09-22-007456-b")</f>
        <v>UA-2020-09-22-007456-b</v>
      </c>
      <c r="C357" s="2" t="str">
        <f>HYPERLINK("https://my.zakupivli.pro/remote/dispatcher/state_contracting_view/5586227", "UA-2020-09-22-007456-b-b1")</f>
        <v>UA-2020-09-22-007456-b-b1</v>
      </c>
      <c r="D357" s="1" t="s">
        <v>799</v>
      </c>
      <c r="E357" s="1" t="s">
        <v>952</v>
      </c>
      <c r="F357" s="1" t="s">
        <v>952</v>
      </c>
      <c r="G357" s="1" t="s">
        <v>266</v>
      </c>
      <c r="H357" s="1" t="s">
        <v>894</v>
      </c>
      <c r="I357" s="1" t="s">
        <v>1263</v>
      </c>
      <c r="J357" s="1" t="s">
        <v>206</v>
      </c>
      <c r="K357" s="1" t="s">
        <v>140</v>
      </c>
      <c r="L357" s="5">
        <v>14800</v>
      </c>
      <c r="M357" s="1" t="s">
        <v>1293</v>
      </c>
      <c r="N357" s="6">
        <v>44096</v>
      </c>
      <c r="O357" s="6">
        <v>44196</v>
      </c>
      <c r="P357" s="1" t="s">
        <v>1357</v>
      </c>
    </row>
    <row r="358" spans="1:16" hidden="1" x14ac:dyDescent="0.25">
      <c r="A358" s="4">
        <v>354</v>
      </c>
      <c r="B358" s="2" t="str">
        <f>HYPERLINK("https://my.zakupivli.pro/remote/dispatcher/state_purchase_view/19390319", "UA-2020-09-18-001866-a")</f>
        <v>UA-2020-09-18-001866-a</v>
      </c>
      <c r="C358" s="2" t="str">
        <f>HYPERLINK("https://my.zakupivli.pro/remote/dispatcher/state_contracting_view/5541789", "UA-2020-09-18-001866-a-a1")</f>
        <v>UA-2020-09-18-001866-a-a1</v>
      </c>
      <c r="D358" s="1" t="s">
        <v>566</v>
      </c>
      <c r="E358" s="1" t="s">
        <v>1199</v>
      </c>
      <c r="F358" s="1" t="s">
        <v>1011</v>
      </c>
      <c r="G358" s="1" t="s">
        <v>577</v>
      </c>
      <c r="H358" s="1" t="s">
        <v>894</v>
      </c>
      <c r="I358" s="1" t="s">
        <v>1027</v>
      </c>
      <c r="J358" s="1" t="s">
        <v>385</v>
      </c>
      <c r="K358" s="1" t="s">
        <v>1371</v>
      </c>
      <c r="L358" s="5">
        <v>2200</v>
      </c>
      <c r="M358" s="1" t="s">
        <v>993</v>
      </c>
      <c r="N358" s="6">
        <v>44091</v>
      </c>
      <c r="O358" s="6">
        <v>44196</v>
      </c>
      <c r="P358" s="1" t="s">
        <v>1357</v>
      </c>
    </row>
    <row r="359" spans="1:16" hidden="1" x14ac:dyDescent="0.25">
      <c r="A359" s="4">
        <v>355</v>
      </c>
      <c r="B359" s="2" t="str">
        <f>HYPERLINK("https://my.zakupivli.pro/remote/dispatcher/state_purchase_view/20198481", "UA-2020-10-19-001124-c")</f>
        <v>UA-2020-10-19-001124-c</v>
      </c>
      <c r="C359" s="2" t="str">
        <f>HYPERLINK("https://my.zakupivli.pro/remote/dispatcher/state_contracting_view/5923129", "UA-2020-10-19-001124-c-c1")</f>
        <v>UA-2020-10-19-001124-c-c1</v>
      </c>
      <c r="D359" s="1" t="s">
        <v>773</v>
      </c>
      <c r="E359" s="1" t="s">
        <v>950</v>
      </c>
      <c r="F359" s="1" t="s">
        <v>950</v>
      </c>
      <c r="G359" s="1" t="s">
        <v>438</v>
      </c>
      <c r="H359" s="1" t="s">
        <v>894</v>
      </c>
      <c r="I359" s="1" t="s">
        <v>1263</v>
      </c>
      <c r="J359" s="1" t="s">
        <v>206</v>
      </c>
      <c r="K359" s="1" t="s">
        <v>310</v>
      </c>
      <c r="L359" s="5">
        <v>5500</v>
      </c>
      <c r="M359" s="1" t="s">
        <v>993</v>
      </c>
      <c r="N359" s="6">
        <v>44123</v>
      </c>
      <c r="O359" s="6">
        <v>44196</v>
      </c>
      <c r="P359" s="1" t="s">
        <v>1357</v>
      </c>
    </row>
    <row r="360" spans="1:16" hidden="1" x14ac:dyDescent="0.25">
      <c r="A360" s="4">
        <v>356</v>
      </c>
      <c r="B360" s="2" t="str">
        <f>HYPERLINK("https://my.zakupivli.pro/remote/dispatcher/state_purchase_view/21017014", "UA-2020-11-12-007743-c")</f>
        <v>UA-2020-11-12-007743-c</v>
      </c>
      <c r="C360" s="2" t="str">
        <f>HYPERLINK("https://my.zakupivli.pro/remote/dispatcher/state_contracting_view/6315781", "UA-2020-11-12-007743-c-c1")</f>
        <v>UA-2020-11-12-007743-c-c1</v>
      </c>
      <c r="D360" s="1" t="s">
        <v>454</v>
      </c>
      <c r="E360" s="1" t="s">
        <v>936</v>
      </c>
      <c r="F360" s="1" t="s">
        <v>933</v>
      </c>
      <c r="G360" s="1" t="s">
        <v>263</v>
      </c>
      <c r="H360" s="1" t="s">
        <v>894</v>
      </c>
      <c r="I360" s="1" t="s">
        <v>1282</v>
      </c>
      <c r="J360" s="1" t="s">
        <v>192</v>
      </c>
      <c r="K360" s="1" t="s">
        <v>308</v>
      </c>
      <c r="L360" s="5">
        <v>655.20000000000005</v>
      </c>
      <c r="M360" s="1" t="s">
        <v>1293</v>
      </c>
      <c r="N360" s="6">
        <v>44147</v>
      </c>
      <c r="O360" s="6">
        <v>44196</v>
      </c>
      <c r="P360" s="1" t="s">
        <v>1357</v>
      </c>
    </row>
    <row r="361" spans="1:16" hidden="1" x14ac:dyDescent="0.25">
      <c r="A361" s="4">
        <v>357</v>
      </c>
      <c r="B361" s="2" t="str">
        <f>HYPERLINK("https://my.zakupivli.pro/remote/dispatcher/state_purchase_view/19295440", "UA-2020-09-15-008654-a")</f>
        <v>UA-2020-09-15-008654-a</v>
      </c>
      <c r="C361" s="2" t="str">
        <f>HYPERLINK("https://my.zakupivli.pro/remote/dispatcher/state_contracting_view/5496249", "UA-2020-09-15-008654-a-a1")</f>
        <v>UA-2020-09-15-008654-a-a1</v>
      </c>
      <c r="D361" s="1" t="s">
        <v>150</v>
      </c>
      <c r="E361" s="1" t="s">
        <v>951</v>
      </c>
      <c r="F361" s="1" t="s">
        <v>951</v>
      </c>
      <c r="G361" s="1" t="s">
        <v>438</v>
      </c>
      <c r="H361" s="1" t="s">
        <v>894</v>
      </c>
      <c r="I361" s="1" t="s">
        <v>1263</v>
      </c>
      <c r="J361" s="1" t="s">
        <v>206</v>
      </c>
      <c r="K361" s="1" t="s">
        <v>307</v>
      </c>
      <c r="L361" s="5">
        <v>20000</v>
      </c>
      <c r="M361" s="1" t="s">
        <v>993</v>
      </c>
      <c r="N361" s="6">
        <v>44089</v>
      </c>
      <c r="O361" s="6">
        <v>44196</v>
      </c>
      <c r="P361" s="1" t="s">
        <v>1357</v>
      </c>
    </row>
    <row r="362" spans="1:16" hidden="1" x14ac:dyDescent="0.25">
      <c r="A362" s="4">
        <v>358</v>
      </c>
      <c r="B362" s="2" t="str">
        <f>HYPERLINK("https://my.zakupivli.pro/remote/dispatcher/state_purchase_view/19488403", "UA-2020-09-22-008478-b")</f>
        <v>UA-2020-09-22-008478-b</v>
      </c>
      <c r="C362" s="2" t="str">
        <f>HYPERLINK("https://my.zakupivli.pro/remote/dispatcher/state_contracting_view/5588400", "UA-2020-09-22-008478-b-b1")</f>
        <v>UA-2020-09-22-008478-b-b1</v>
      </c>
      <c r="D362" s="1" t="s">
        <v>771</v>
      </c>
      <c r="E362" s="1" t="s">
        <v>912</v>
      </c>
      <c r="F362" s="1" t="s">
        <v>911</v>
      </c>
      <c r="G362" s="1" t="s">
        <v>291</v>
      </c>
      <c r="H362" s="1" t="s">
        <v>894</v>
      </c>
      <c r="I362" s="1" t="s">
        <v>929</v>
      </c>
      <c r="J362" s="1" t="s">
        <v>207</v>
      </c>
      <c r="K362" s="1" t="s">
        <v>307</v>
      </c>
      <c r="L362" s="5">
        <v>2385</v>
      </c>
      <c r="M362" s="1" t="s">
        <v>993</v>
      </c>
      <c r="N362" s="6">
        <v>44096</v>
      </c>
      <c r="O362" s="6">
        <v>44196</v>
      </c>
      <c r="P362" s="1" t="s">
        <v>1357</v>
      </c>
    </row>
    <row r="363" spans="1:16" hidden="1" x14ac:dyDescent="0.25">
      <c r="A363" s="4">
        <v>359</v>
      </c>
      <c r="B363" s="2" t="str">
        <f>HYPERLINK("https://my.zakupivli.pro/remote/dispatcher/state_purchase_view/19352446", "UA-2020-09-17-003117-a")</f>
        <v>UA-2020-09-17-003117-a</v>
      </c>
      <c r="C363" s="2" t="str">
        <f>HYPERLINK("https://my.zakupivli.pro/remote/dispatcher/state_contracting_view/5523934", "UA-2020-09-17-003117-a-a1")</f>
        <v>UA-2020-09-17-003117-a-a1</v>
      </c>
      <c r="D363" s="1" t="s">
        <v>52</v>
      </c>
      <c r="E363" s="1" t="s">
        <v>1197</v>
      </c>
      <c r="F363" s="1" t="s">
        <v>1197</v>
      </c>
      <c r="G363" s="1" t="s">
        <v>552</v>
      </c>
      <c r="H363" s="1" t="s">
        <v>894</v>
      </c>
      <c r="I363" s="1" t="s">
        <v>1283</v>
      </c>
      <c r="J363" s="1" t="s">
        <v>322</v>
      </c>
      <c r="K363" s="1" t="s">
        <v>307</v>
      </c>
      <c r="L363" s="5">
        <v>498</v>
      </c>
      <c r="M363" s="1" t="s">
        <v>1293</v>
      </c>
      <c r="N363" s="6">
        <v>44091</v>
      </c>
      <c r="O363" s="6">
        <v>44196</v>
      </c>
      <c r="P363" s="1" t="s">
        <v>1357</v>
      </c>
    </row>
    <row r="364" spans="1:16" hidden="1" x14ac:dyDescent="0.25">
      <c r="A364" s="4">
        <v>360</v>
      </c>
      <c r="B364" s="2" t="str">
        <f>HYPERLINK("https://my.zakupivli.pro/remote/dispatcher/state_purchase_view/20515614", "UA-2020-10-27-007525-a")</f>
        <v>UA-2020-10-27-007525-a</v>
      </c>
      <c r="C364" s="2" t="str">
        <f>HYPERLINK("https://my.zakupivli.pro/remote/dispatcher/state_contracting_view/6077382", "UA-2020-10-27-007525-a-a1")</f>
        <v>UA-2020-10-27-007525-a-a1</v>
      </c>
      <c r="D364" s="1" t="s">
        <v>134</v>
      </c>
      <c r="E364" s="1" t="s">
        <v>1198</v>
      </c>
      <c r="F364" s="1" t="s">
        <v>1198</v>
      </c>
      <c r="G364" s="1" t="s">
        <v>520</v>
      </c>
      <c r="H364" s="1" t="s">
        <v>894</v>
      </c>
      <c r="I364" s="1" t="s">
        <v>1031</v>
      </c>
      <c r="J364" s="1" t="s">
        <v>154</v>
      </c>
      <c r="K364" s="1" t="s">
        <v>94</v>
      </c>
      <c r="L364" s="5">
        <v>434.64</v>
      </c>
      <c r="M364" s="1" t="s">
        <v>1293</v>
      </c>
      <c r="N364" s="6">
        <v>44131</v>
      </c>
      <c r="O364" s="6">
        <v>44196</v>
      </c>
      <c r="P364" s="1" t="s">
        <v>1357</v>
      </c>
    </row>
    <row r="365" spans="1:16" hidden="1" x14ac:dyDescent="0.25">
      <c r="A365" s="4">
        <v>361</v>
      </c>
      <c r="B365" s="2" t="str">
        <f>HYPERLINK("https://my.zakupivli.pro/remote/dispatcher/state_purchase_view/21017886", "UA-2020-11-12-008049-c")</f>
        <v>UA-2020-11-12-008049-c</v>
      </c>
      <c r="C365" s="2" t="str">
        <f>HYPERLINK("https://my.zakupivli.pro/remote/dispatcher/state_contracting_view/6316298", "UA-2020-11-12-008049-c-c1")</f>
        <v>UA-2020-11-12-008049-c-c1</v>
      </c>
      <c r="D365" s="1" t="s">
        <v>768</v>
      </c>
      <c r="E365" s="1" t="s">
        <v>931</v>
      </c>
      <c r="F365" s="1" t="s">
        <v>931</v>
      </c>
      <c r="G365" s="1" t="s">
        <v>262</v>
      </c>
      <c r="H365" s="1" t="s">
        <v>894</v>
      </c>
      <c r="I365" s="1" t="s">
        <v>1282</v>
      </c>
      <c r="J365" s="1" t="s">
        <v>192</v>
      </c>
      <c r="K365" s="1" t="s">
        <v>308</v>
      </c>
      <c r="L365" s="5">
        <v>474</v>
      </c>
      <c r="M365" s="1" t="s">
        <v>1293</v>
      </c>
      <c r="N365" s="6">
        <v>44147</v>
      </c>
      <c r="O365" s="6">
        <v>44196</v>
      </c>
      <c r="P365" s="1" t="s">
        <v>1357</v>
      </c>
    </row>
    <row r="366" spans="1:16" hidden="1" x14ac:dyDescent="0.25">
      <c r="A366" s="4">
        <v>362</v>
      </c>
      <c r="B366" s="2" t="str">
        <f>HYPERLINK("https://my.zakupivli.pro/remote/dispatcher/state_purchase_view/21691004", "UA-2020-12-03-002202-b")</f>
        <v>UA-2020-12-03-002202-b</v>
      </c>
      <c r="C366" s="2" t="str">
        <f>HYPERLINK("https://my.zakupivli.pro/remote/dispatcher/state_contracting_view/6634444", "UA-2020-12-03-002202-b-b1")</f>
        <v>UA-2020-12-03-002202-b-b1</v>
      </c>
      <c r="D366" s="1" t="s">
        <v>800</v>
      </c>
      <c r="E366" s="1" t="s">
        <v>937</v>
      </c>
      <c r="F366" s="1" t="s">
        <v>1226</v>
      </c>
      <c r="G366" s="1" t="s">
        <v>263</v>
      </c>
      <c r="H366" s="1" t="s">
        <v>894</v>
      </c>
      <c r="I366" s="1" t="s">
        <v>1282</v>
      </c>
      <c r="J366" s="1" t="s">
        <v>192</v>
      </c>
      <c r="K366" s="1" t="s">
        <v>309</v>
      </c>
      <c r="L366" s="5">
        <v>56.6</v>
      </c>
      <c r="M366" s="1" t="s">
        <v>1293</v>
      </c>
      <c r="N366" s="6">
        <v>44168</v>
      </c>
      <c r="O366" s="6">
        <v>44180</v>
      </c>
      <c r="P366" s="1" t="s">
        <v>1357</v>
      </c>
    </row>
    <row r="367" spans="1:16" hidden="1" x14ac:dyDescent="0.25">
      <c r="A367" s="1" t="s">
        <v>914</v>
      </c>
    </row>
  </sheetData>
  <autoFilter ref="A4:P367" xr:uid="{00000000-0009-0000-0000-000000000000}">
    <filterColumn colId="15">
      <filters>
        <filter val="активний"/>
      </filters>
    </filterColumn>
  </autoFilter>
  <mergeCells count="2">
    <mergeCell ref="G1:I1"/>
    <mergeCell ref="G2:I2"/>
  </mergeCells>
  <hyperlinks>
    <hyperlink ref="B5" r:id="rId1" display="https://my.zakupivli.pro/remote/dispatcher/state_purchase_view/65246752" xr:uid="{00000000-0004-0000-0000-000001000000}"/>
    <hyperlink ref="C5" r:id="rId2" display="https://my.zakupivli.pro/remote/dispatcher/state_contracting_view/26626651" xr:uid="{00000000-0004-0000-0000-000002000000}"/>
    <hyperlink ref="B6" r:id="rId3" display="https://my.zakupivli.pro/remote/dispatcher/state_purchase_view/65291885" xr:uid="{00000000-0004-0000-0000-000003000000}"/>
    <hyperlink ref="C6" r:id="rId4" display="https://my.zakupivli.pro/remote/dispatcher/state_contracting_view/26645627" xr:uid="{00000000-0004-0000-0000-000004000000}"/>
    <hyperlink ref="B7" r:id="rId5" display="https://my.zakupivli.pro/remote/dispatcher/state_purchase_view/65601577" xr:uid="{00000000-0004-0000-0000-000005000000}"/>
    <hyperlink ref="C7" r:id="rId6" display="https://my.zakupivli.pro/remote/dispatcher/state_contracting_view/26777427" xr:uid="{00000000-0004-0000-0000-000006000000}"/>
    <hyperlink ref="B8" r:id="rId7" display="https://my.zakupivli.pro/remote/dispatcher/state_purchase_view/65239725" xr:uid="{00000000-0004-0000-0000-000007000000}"/>
    <hyperlink ref="C8" r:id="rId8" display="https://my.zakupivli.pro/remote/dispatcher/state_contracting_view/26623698" xr:uid="{00000000-0004-0000-0000-000008000000}"/>
    <hyperlink ref="B9" r:id="rId9" display="https://my.zakupivli.pro/remote/dispatcher/state_purchase_view/65527282" xr:uid="{00000000-0004-0000-0000-000009000000}"/>
    <hyperlink ref="C9" r:id="rId10" display="https://my.zakupivli.pro/remote/dispatcher/state_contracting_view/26745598" xr:uid="{00000000-0004-0000-0000-00000A000000}"/>
    <hyperlink ref="B10" r:id="rId11" display="https://my.zakupivli.pro/remote/dispatcher/state_purchase_view/65242539" xr:uid="{00000000-0004-0000-0000-00000B000000}"/>
    <hyperlink ref="C10" r:id="rId12" display="https://my.zakupivli.pro/remote/dispatcher/state_contracting_view/26625007" xr:uid="{00000000-0004-0000-0000-00000C000000}"/>
    <hyperlink ref="B11" r:id="rId13" display="https://my.zakupivli.pro/remote/dispatcher/state_purchase_view/65250380" xr:uid="{00000000-0004-0000-0000-00000D000000}"/>
    <hyperlink ref="C11" r:id="rId14" display="https://my.zakupivli.pro/remote/dispatcher/state_contracting_view/26628043" xr:uid="{00000000-0004-0000-0000-00000E000000}"/>
    <hyperlink ref="B12" r:id="rId15" display="https://my.zakupivli.pro/remote/dispatcher/state_purchase_view/65241207" xr:uid="{00000000-0004-0000-0000-00000F000000}"/>
    <hyperlink ref="C12" r:id="rId16" display="https://my.zakupivli.pro/remote/dispatcher/state_contracting_view/26624446" xr:uid="{00000000-0004-0000-0000-000010000000}"/>
    <hyperlink ref="B13" r:id="rId17" display="https://my.zakupivli.pro/remote/dispatcher/state_purchase_view/65248839" xr:uid="{00000000-0004-0000-0000-000011000000}"/>
    <hyperlink ref="C13" r:id="rId18" display="https://my.zakupivli.pro/remote/dispatcher/state_contracting_view/26627432" xr:uid="{00000000-0004-0000-0000-000012000000}"/>
    <hyperlink ref="B14" r:id="rId19" display="https://my.zakupivli.pro/remote/dispatcher/state_purchase_view/65244407" xr:uid="{00000000-0004-0000-0000-000013000000}"/>
    <hyperlink ref="C14" r:id="rId20" display="https://my.zakupivli.pro/remote/dispatcher/state_contracting_view/26625737" xr:uid="{00000000-0004-0000-0000-000014000000}"/>
    <hyperlink ref="B15" r:id="rId21" display="https://my.zakupivli.pro/remote/dispatcher/state_purchase_view/65247460" xr:uid="{00000000-0004-0000-0000-000015000000}"/>
    <hyperlink ref="C15" r:id="rId22" display="https://my.zakupivli.pro/remote/dispatcher/state_contracting_view/26626897" xr:uid="{00000000-0004-0000-0000-000016000000}"/>
    <hyperlink ref="B16" r:id="rId23" display="https://my.zakupivli.pro/remote/dispatcher/state_purchase_view/65290549" xr:uid="{00000000-0004-0000-0000-000017000000}"/>
    <hyperlink ref="C16" r:id="rId24" display="https://my.zakupivli.pro/remote/dispatcher/state_contracting_view/26645103" xr:uid="{00000000-0004-0000-0000-000018000000}"/>
    <hyperlink ref="B17" r:id="rId25" display="https://my.zakupivli.pro/remote/dispatcher/state_purchase_view/58624214" xr:uid="{00000000-0004-0000-0000-000019000000}"/>
    <hyperlink ref="C17" r:id="rId26" display="https://my.zakupivli.pro/remote/dispatcher/state_contracting_view/23759977" xr:uid="{00000000-0004-0000-0000-00001A000000}"/>
    <hyperlink ref="B18" r:id="rId27" display="https://my.zakupivli.pro/remote/dispatcher/state_purchase_view/58623132" xr:uid="{00000000-0004-0000-0000-00001B000000}"/>
    <hyperlink ref="C18" r:id="rId28" display="https://my.zakupivli.pro/remote/dispatcher/state_contracting_view/23759553" xr:uid="{00000000-0004-0000-0000-00001C000000}"/>
    <hyperlink ref="B19" r:id="rId29" display="https://my.zakupivli.pro/remote/dispatcher/state_purchase_view/63720152" xr:uid="{00000000-0004-0000-0000-00001D000000}"/>
    <hyperlink ref="C19" r:id="rId30" display="https://my.zakupivli.pro/remote/dispatcher/state_contracting_view/25964067" xr:uid="{00000000-0004-0000-0000-00001E000000}"/>
    <hyperlink ref="B20" r:id="rId31" display="https://my.zakupivli.pro/remote/dispatcher/state_purchase_view/58872083" xr:uid="{00000000-0004-0000-0000-00001F000000}"/>
    <hyperlink ref="C20" r:id="rId32" display="https://my.zakupivli.pro/remote/dispatcher/state_contracting_view/23867778" xr:uid="{00000000-0004-0000-0000-000020000000}"/>
    <hyperlink ref="B21" r:id="rId33" display="https://my.zakupivli.pro/remote/dispatcher/state_purchase_view/60062207" xr:uid="{00000000-0004-0000-0000-000021000000}"/>
    <hyperlink ref="C21" r:id="rId34" display="https://my.zakupivli.pro/remote/dispatcher/state_contracting_view/24379721" xr:uid="{00000000-0004-0000-0000-000022000000}"/>
    <hyperlink ref="B22" r:id="rId35" display="https://my.zakupivli.pro/remote/dispatcher/state_purchase_view/60476602" xr:uid="{00000000-0004-0000-0000-000023000000}"/>
    <hyperlink ref="C22" r:id="rId36" display="https://my.zakupivli.pro/remote/dispatcher/state_contracting_view/24561044" xr:uid="{00000000-0004-0000-0000-000024000000}"/>
    <hyperlink ref="B23" r:id="rId37" display="https://my.zakupivli.pro/remote/dispatcher/state_purchase_view/64567294" xr:uid="{00000000-0004-0000-0000-000025000000}"/>
    <hyperlink ref="C23" r:id="rId38" display="https://my.zakupivli.pro/remote/dispatcher/state_contracting_view/26326158" xr:uid="{00000000-0004-0000-0000-000026000000}"/>
    <hyperlink ref="B24" r:id="rId39" display="https://my.zakupivli.pro/remote/dispatcher/state_purchase_view/64120002" xr:uid="{00000000-0004-0000-0000-000027000000}"/>
    <hyperlink ref="C24" r:id="rId40" display="https://my.zakupivli.pro/remote/dispatcher/state_contracting_view/26132973" xr:uid="{00000000-0004-0000-0000-000028000000}"/>
    <hyperlink ref="B25" r:id="rId41" display="https://my.zakupivli.pro/remote/dispatcher/state_purchase_view/64123743" xr:uid="{00000000-0004-0000-0000-000029000000}"/>
    <hyperlink ref="C25" r:id="rId42" display="https://my.zakupivli.pro/remote/dispatcher/state_contracting_view/26134507" xr:uid="{00000000-0004-0000-0000-00002A000000}"/>
    <hyperlink ref="B26" r:id="rId43" display="https://my.zakupivli.pro/remote/dispatcher/state_purchase_view/56431570" xr:uid="{00000000-0004-0000-0000-00002B000000}"/>
    <hyperlink ref="C26" r:id="rId44" display="https://my.zakupivli.pro/remote/dispatcher/state_contracting_view/22806520" xr:uid="{00000000-0004-0000-0000-00002C000000}"/>
    <hyperlink ref="B27" r:id="rId45" display="https://my.zakupivli.pro/remote/dispatcher/state_purchase_view/58625085" xr:uid="{00000000-0004-0000-0000-00002D000000}"/>
    <hyperlink ref="C27" r:id="rId46" display="https://my.zakupivli.pro/remote/dispatcher/state_contracting_view/23760284" xr:uid="{00000000-0004-0000-0000-00002E000000}"/>
    <hyperlink ref="B28" r:id="rId47" display="https://my.zakupivli.pro/remote/dispatcher/state_purchase_view/60660277" xr:uid="{00000000-0004-0000-0000-00002F000000}"/>
    <hyperlink ref="C28" r:id="rId48" display="https://my.zakupivli.pro/remote/dispatcher/state_contracting_view/24641460" xr:uid="{00000000-0004-0000-0000-000030000000}"/>
    <hyperlink ref="B29" r:id="rId49" display="https://my.zakupivli.pro/remote/dispatcher/state_purchase_view/58824603" xr:uid="{00000000-0004-0000-0000-000031000000}"/>
    <hyperlink ref="C29" r:id="rId50" display="https://my.zakupivli.pro/remote/dispatcher/state_contracting_view/23847257" xr:uid="{00000000-0004-0000-0000-000032000000}"/>
    <hyperlink ref="B30" r:id="rId51" display="https://my.zakupivli.pro/remote/dispatcher/state_purchase_view/59526118" xr:uid="{00000000-0004-0000-0000-000033000000}"/>
    <hyperlink ref="C30" r:id="rId52" display="https://my.zakupivli.pro/remote/dispatcher/state_contracting_view/24146020" xr:uid="{00000000-0004-0000-0000-000034000000}"/>
    <hyperlink ref="B31" r:id="rId53" display="https://my.zakupivli.pro/remote/dispatcher/state_purchase_view/60516943" xr:uid="{00000000-0004-0000-0000-000035000000}"/>
    <hyperlink ref="C31" r:id="rId54" display="https://my.zakupivli.pro/remote/dispatcher/state_contracting_view/24578761" xr:uid="{00000000-0004-0000-0000-000036000000}"/>
    <hyperlink ref="B32" r:id="rId55" display="https://my.zakupivli.pro/remote/dispatcher/state_purchase_view/64096053" xr:uid="{00000000-0004-0000-0000-000037000000}"/>
    <hyperlink ref="C32" r:id="rId56" display="https://my.zakupivli.pro/remote/dispatcher/state_contracting_view/26123015" xr:uid="{00000000-0004-0000-0000-000038000000}"/>
    <hyperlink ref="B33" r:id="rId57" display="https://my.zakupivli.pro/remote/dispatcher/state_purchase_view/61987046" xr:uid="{00000000-0004-0000-0000-000039000000}"/>
    <hyperlink ref="C33" r:id="rId58" display="https://my.zakupivli.pro/remote/dispatcher/state_contracting_view/25218978" xr:uid="{00000000-0004-0000-0000-00003A000000}"/>
    <hyperlink ref="B34" r:id="rId59" display="https://my.zakupivli.pro/remote/dispatcher/state_purchase_view/56551541" xr:uid="{00000000-0004-0000-0000-00003B000000}"/>
    <hyperlink ref="C34" r:id="rId60" display="https://my.zakupivli.pro/remote/dispatcher/state_contracting_view/22855832" xr:uid="{00000000-0004-0000-0000-00003C000000}"/>
    <hyperlink ref="B35" r:id="rId61" display="https://my.zakupivli.pro/remote/dispatcher/state_purchase_view/58156854" xr:uid="{00000000-0004-0000-0000-00003D000000}"/>
    <hyperlink ref="C35" r:id="rId62" display="https://my.zakupivli.pro/remote/dispatcher/state_contracting_view/23555725" xr:uid="{00000000-0004-0000-0000-00003E000000}"/>
    <hyperlink ref="B36" r:id="rId63" display="https://my.zakupivli.pro/remote/dispatcher/state_purchase_view/58623636" xr:uid="{00000000-0004-0000-0000-00003F000000}"/>
    <hyperlink ref="C36" r:id="rId64" display="https://my.zakupivli.pro/remote/dispatcher/state_contracting_view/23759754" xr:uid="{00000000-0004-0000-0000-000040000000}"/>
    <hyperlink ref="B37" r:id="rId65" display="https://my.zakupivli.pro/remote/dispatcher/state_purchase_view/59361084" xr:uid="{00000000-0004-0000-0000-000041000000}"/>
    <hyperlink ref="C37" r:id="rId66" display="https://my.zakupivli.pro/remote/dispatcher/state_contracting_view/24074177" xr:uid="{00000000-0004-0000-0000-000042000000}"/>
    <hyperlink ref="B38" r:id="rId67" display="https://my.zakupivli.pro/remote/dispatcher/state_purchase_view/61392387" xr:uid="{00000000-0004-0000-0000-000043000000}"/>
    <hyperlink ref="C38" r:id="rId68" display="https://my.zakupivli.pro/remote/dispatcher/state_contracting_view/24960622" xr:uid="{00000000-0004-0000-0000-000044000000}"/>
    <hyperlink ref="B39" r:id="rId69" display="https://my.zakupivli.pro/remote/dispatcher/state_purchase_view/61213751" xr:uid="{00000000-0004-0000-0000-000045000000}"/>
    <hyperlink ref="C39" r:id="rId70" display="https://my.zakupivli.pro/remote/dispatcher/state_contracting_view/24884107" xr:uid="{00000000-0004-0000-0000-000046000000}"/>
    <hyperlink ref="B40" r:id="rId71" display="https://my.zakupivli.pro/remote/dispatcher/state_purchase_view/62182849" xr:uid="{00000000-0004-0000-0000-000047000000}"/>
    <hyperlink ref="C40" r:id="rId72" display="https://my.zakupivli.pro/remote/dispatcher/state_contracting_view/25303931" xr:uid="{00000000-0004-0000-0000-000048000000}"/>
    <hyperlink ref="B41" r:id="rId73" display="https://my.zakupivli.pro/remote/dispatcher/state_purchase_view/56435989" xr:uid="{00000000-0004-0000-0000-000049000000}"/>
    <hyperlink ref="C41" r:id="rId74" display="https://my.zakupivli.pro/remote/dispatcher/state_contracting_view/22808196" xr:uid="{00000000-0004-0000-0000-00004A000000}"/>
    <hyperlink ref="B42" r:id="rId75" display="https://my.zakupivli.pro/remote/dispatcher/state_purchase_view/58624694" xr:uid="{00000000-0004-0000-0000-00004B000000}"/>
    <hyperlink ref="C42" r:id="rId76" display="https://my.zakupivli.pro/remote/dispatcher/state_contracting_view/23760193" xr:uid="{00000000-0004-0000-0000-00004C000000}"/>
    <hyperlink ref="B43" r:id="rId77" display="https://my.zakupivli.pro/remote/dispatcher/state_purchase_view/58970248" xr:uid="{00000000-0004-0000-0000-00004D000000}"/>
    <hyperlink ref="C43" r:id="rId78" display="https://my.zakupivli.pro/remote/dispatcher/state_contracting_view/23997458" xr:uid="{00000000-0004-0000-0000-00004F000000}"/>
    <hyperlink ref="B44" r:id="rId79" display="https://my.zakupivli.pro/remote/dispatcher/state_purchase_view/59202084" xr:uid="{00000000-0004-0000-0000-000050000000}"/>
    <hyperlink ref="C44" r:id="rId80" display="https://my.zakupivli.pro/remote/dispatcher/state_contracting_view/24012188" xr:uid="{00000000-0004-0000-0000-000051000000}"/>
    <hyperlink ref="B45" r:id="rId81" display="https://my.zakupivli.pro/remote/dispatcher/state_purchase_view/60517378" xr:uid="{00000000-0004-0000-0000-000052000000}"/>
    <hyperlink ref="C45" r:id="rId82" display="https://my.zakupivli.pro/remote/dispatcher/state_contracting_view/24578871" xr:uid="{00000000-0004-0000-0000-000053000000}"/>
    <hyperlink ref="B46" r:id="rId83" display="https://my.zakupivli.pro/remote/dispatcher/state_purchase_view/61213165" xr:uid="{00000000-0004-0000-0000-000054000000}"/>
    <hyperlink ref="C46" r:id="rId84" display="https://my.zakupivli.pro/remote/dispatcher/state_contracting_view/24883863" xr:uid="{00000000-0004-0000-0000-000055000000}"/>
    <hyperlink ref="B47" r:id="rId85" display="https://my.zakupivli.pro/remote/dispatcher/state_purchase_view/64122784" xr:uid="{00000000-0004-0000-0000-000056000000}"/>
    <hyperlink ref="C47" r:id="rId86" display="https://my.zakupivli.pro/remote/dispatcher/state_contracting_view/26134135" xr:uid="{00000000-0004-0000-0000-000057000000}"/>
    <hyperlink ref="B48" r:id="rId87" display="https://my.zakupivli.pro/remote/dispatcher/state_purchase_view/64121803" xr:uid="{00000000-0004-0000-0000-000058000000}"/>
    <hyperlink ref="C48" r:id="rId88" display="https://my.zakupivli.pro/remote/dispatcher/state_contracting_view/26133703" xr:uid="{00000000-0004-0000-0000-000059000000}"/>
    <hyperlink ref="B49" r:id="rId89" display="https://my.zakupivli.pro/remote/dispatcher/state_purchase_view/63561197" xr:uid="{00000000-0004-0000-0000-00005A000000}"/>
    <hyperlink ref="C49" r:id="rId90" display="https://my.zakupivli.pro/remote/dispatcher/state_contracting_view/25895807" xr:uid="{00000000-0004-0000-0000-00005B000000}"/>
    <hyperlink ref="B50" r:id="rId91" display="https://my.zakupivli.pro/remote/dispatcher/state_purchase_view/64020787" xr:uid="{00000000-0004-0000-0000-00005C000000}"/>
    <hyperlink ref="C50" r:id="rId92" display="https://my.zakupivli.pro/remote/dispatcher/state_contracting_view/26091495" xr:uid="{00000000-0004-0000-0000-00005D000000}"/>
    <hyperlink ref="B51" r:id="rId93" display="https://my.zakupivli.pro/remote/dispatcher/state_purchase_view/61996922" xr:uid="{00000000-0004-0000-0000-00005E000000}"/>
    <hyperlink ref="C51" r:id="rId94" display="https://my.zakupivli.pro/remote/dispatcher/state_contracting_view/25223215" xr:uid="{00000000-0004-0000-0000-00005F000000}"/>
    <hyperlink ref="B52" r:id="rId95" display="https://my.zakupivli.pro/remote/dispatcher/state_purchase_view/63620272" xr:uid="{00000000-0004-0000-0000-000060000000}"/>
    <hyperlink ref="C52" r:id="rId96" display="https://my.zakupivli.pro/remote/dispatcher/state_contracting_view/25921168" xr:uid="{00000000-0004-0000-0000-000061000000}"/>
    <hyperlink ref="B53" r:id="rId97" display="https://my.zakupivli.pro/remote/dispatcher/state_purchase_view/56428700" xr:uid="{00000000-0004-0000-0000-000062000000}"/>
    <hyperlink ref="C53" r:id="rId98" display="https://my.zakupivli.pro/remote/dispatcher/state_contracting_view/22805477" xr:uid="{00000000-0004-0000-0000-000063000000}"/>
    <hyperlink ref="B54" r:id="rId99" display="https://my.zakupivli.pro/remote/dispatcher/state_purchase_view/58622617" xr:uid="{00000000-0004-0000-0000-000064000000}"/>
    <hyperlink ref="C54" r:id="rId100" display="https://my.zakupivli.pro/remote/dispatcher/state_contracting_view/23759233" xr:uid="{00000000-0004-0000-0000-000065000000}"/>
    <hyperlink ref="B55" r:id="rId101" display="https://my.zakupivli.pro/remote/dispatcher/state_purchase_view/60081769" xr:uid="{00000000-0004-0000-0000-000066000000}"/>
    <hyperlink ref="C55" r:id="rId102" display="https://my.zakupivli.pro/remote/dispatcher/state_contracting_view/24388141" xr:uid="{00000000-0004-0000-0000-000067000000}"/>
    <hyperlink ref="B56" r:id="rId103" display="https://my.zakupivli.pro/remote/dispatcher/state_purchase_view/60507792" xr:uid="{00000000-0004-0000-0000-000068000000}"/>
    <hyperlink ref="C56" r:id="rId104" display="https://my.zakupivli.pro/remote/dispatcher/state_contracting_view/24574858" xr:uid="{00000000-0004-0000-0000-000069000000}"/>
    <hyperlink ref="B57" r:id="rId105" display="https://my.zakupivli.pro/remote/dispatcher/state_purchase_view/60517782" xr:uid="{00000000-0004-0000-0000-00006A000000}"/>
    <hyperlink ref="C57" r:id="rId106" display="https://my.zakupivli.pro/remote/dispatcher/state_contracting_view/24579057" xr:uid="{00000000-0004-0000-0000-00006B000000}"/>
    <hyperlink ref="B58" r:id="rId107" display="https://my.zakupivli.pro/remote/dispatcher/state_purchase_view/62670500" xr:uid="{00000000-0004-0000-0000-00006C000000}"/>
    <hyperlink ref="C58" r:id="rId108" display="https://my.zakupivli.pro/remote/dispatcher/state_contracting_view/25511649" xr:uid="{00000000-0004-0000-0000-00006D000000}"/>
    <hyperlink ref="B59" r:id="rId109" display="https://my.zakupivli.pro/remote/dispatcher/state_purchase_view/62855489" xr:uid="{00000000-0004-0000-0000-00006E000000}"/>
    <hyperlink ref="C59" r:id="rId110" display="https://my.zakupivli.pro/remote/dispatcher/state_contracting_view/25589821" xr:uid="{00000000-0004-0000-0000-00006F000000}"/>
    <hyperlink ref="B60" r:id="rId111" display="https://my.zakupivli.pro/remote/dispatcher/state_purchase_view/62282414" xr:uid="{00000000-0004-0000-0000-000070000000}"/>
    <hyperlink ref="C60" r:id="rId112" display="https://my.zakupivli.pro/remote/dispatcher/state_contracting_view/25451208" xr:uid="{00000000-0004-0000-0000-000072000000}"/>
    <hyperlink ref="B61" r:id="rId113" display="https://my.zakupivli.pro/remote/dispatcher/state_purchase_view/61213381" xr:uid="{00000000-0004-0000-0000-000073000000}"/>
    <hyperlink ref="C61" r:id="rId114" display="https://my.zakupivli.pro/remote/dispatcher/state_contracting_view/24884037" xr:uid="{00000000-0004-0000-0000-000074000000}"/>
    <hyperlink ref="B62" r:id="rId115" display="https://my.zakupivli.pro/remote/dispatcher/state_purchase_view/61656825" xr:uid="{00000000-0004-0000-0000-000075000000}"/>
    <hyperlink ref="C62" r:id="rId116" display="https://my.zakupivli.pro/remote/dispatcher/state_contracting_view/25076667" xr:uid="{00000000-0004-0000-0000-000076000000}"/>
    <hyperlink ref="B63" r:id="rId117" display="https://my.zakupivli.pro/remote/dispatcher/state_purchase_view/56435193" xr:uid="{00000000-0004-0000-0000-000077000000}"/>
    <hyperlink ref="C63" r:id="rId118" display="https://my.zakupivli.pro/remote/dispatcher/state_contracting_view/22807951" xr:uid="{00000000-0004-0000-0000-000078000000}"/>
    <hyperlink ref="B64" r:id="rId119" display="https://my.zakupivli.pro/remote/dispatcher/state_purchase_view/62605466" xr:uid="{00000000-0004-0000-0000-000079000000}"/>
    <hyperlink ref="C64" r:id="rId120" display="https://my.zakupivli.pro/remote/dispatcher/state_contracting_view/25485198" xr:uid="{00000000-0004-0000-0000-00007A000000}"/>
    <hyperlink ref="B65" r:id="rId121" display="https://my.zakupivli.pro/remote/dispatcher/state_purchase_view/61936561" xr:uid="{00000000-0004-0000-0000-00007B000000}"/>
    <hyperlink ref="C65" r:id="rId122" display="https://my.zakupivli.pro/remote/dispatcher/state_contracting_view/25198148" xr:uid="{00000000-0004-0000-0000-00007C000000}"/>
    <hyperlink ref="B66" r:id="rId123" display="https://my.zakupivli.pro/remote/dispatcher/state_purchase_view/61213965" xr:uid="{00000000-0004-0000-0000-00007D000000}"/>
    <hyperlink ref="C66" r:id="rId124" display="https://my.zakupivli.pro/remote/dispatcher/state_contracting_view/24884275" xr:uid="{00000000-0004-0000-0000-00007E000000}"/>
    <hyperlink ref="B67" r:id="rId125" display="https://my.zakupivli.pro/remote/dispatcher/state_purchase_view/64123321" xr:uid="{00000000-0004-0000-0000-00007F000000}"/>
    <hyperlink ref="C67" r:id="rId126" display="https://my.zakupivli.pro/remote/dispatcher/state_contracting_view/26134377" xr:uid="{00000000-0004-0000-0000-000080000000}"/>
    <hyperlink ref="B68" r:id="rId127" display="https://my.zakupivli.pro/remote/dispatcher/state_purchase_view/56433683" xr:uid="{00000000-0004-0000-0000-000081000000}"/>
    <hyperlink ref="C68" r:id="rId128" display="https://my.zakupivli.pro/remote/dispatcher/state_contracting_view/22807356" xr:uid="{00000000-0004-0000-0000-000082000000}"/>
    <hyperlink ref="B69" r:id="rId129" display="https://my.zakupivli.pro/remote/dispatcher/state_purchase_view/64122448" xr:uid="{00000000-0004-0000-0000-000083000000}"/>
    <hyperlink ref="C69" r:id="rId130" display="https://my.zakupivli.pro/remote/dispatcher/state_contracting_view/26134009" xr:uid="{00000000-0004-0000-0000-000084000000}"/>
    <hyperlink ref="B70" r:id="rId131" display="https://my.zakupivli.pro/remote/dispatcher/state_purchase_view/56439821" xr:uid="{00000000-0004-0000-0000-000085000000}"/>
    <hyperlink ref="C70" r:id="rId132" display="https://my.zakupivli.pro/remote/dispatcher/state_contracting_view/22809875" xr:uid="{00000000-0004-0000-0000-000086000000}"/>
    <hyperlink ref="B71" r:id="rId133" display="https://my.zakupivli.pro/remote/dispatcher/state_purchase_view/63560562" xr:uid="{00000000-0004-0000-0000-000087000000}"/>
    <hyperlink ref="C71" r:id="rId134" display="https://my.zakupivli.pro/remote/dispatcher/state_contracting_view/25895497" xr:uid="{00000000-0004-0000-0000-000088000000}"/>
    <hyperlink ref="B72" r:id="rId135" display="https://my.zakupivli.pro/remote/dispatcher/state_purchase_view/64120673" xr:uid="{00000000-0004-0000-0000-000089000000}"/>
    <hyperlink ref="C72" r:id="rId136" display="https://my.zakupivli.pro/remote/dispatcher/state_contracting_view/26133269" xr:uid="{00000000-0004-0000-0000-00008A000000}"/>
    <hyperlink ref="B73" r:id="rId137" display="https://my.zakupivli.pro/remote/dispatcher/state_purchase_view/64121380" xr:uid="{00000000-0004-0000-0000-00008B000000}"/>
    <hyperlink ref="C73" r:id="rId138" display="https://my.zakupivli.pro/remote/dispatcher/state_contracting_view/26133550" xr:uid="{00000000-0004-0000-0000-00008C000000}"/>
    <hyperlink ref="B74" r:id="rId139" display="https://my.zakupivli.pro/remote/dispatcher/state_purchase_view/56414964" xr:uid="{00000000-0004-0000-0000-00008D000000}"/>
    <hyperlink ref="C74" r:id="rId140" display="https://my.zakupivli.pro/remote/dispatcher/state_contracting_view/22799826" xr:uid="{00000000-0004-0000-0000-00008E000000}"/>
    <hyperlink ref="B75" r:id="rId141" display="https://my.zakupivli.pro/remote/dispatcher/state_purchase_view/56414302" xr:uid="{00000000-0004-0000-0000-00008F000000}"/>
    <hyperlink ref="C75" r:id="rId142" display="https://my.zakupivli.pro/remote/dispatcher/state_contracting_view/22799396" xr:uid="{00000000-0004-0000-0000-000090000000}"/>
    <hyperlink ref="B76" r:id="rId143" display="https://my.zakupivli.pro/remote/dispatcher/state_purchase_view/56431932" xr:uid="{00000000-0004-0000-0000-000091000000}"/>
    <hyperlink ref="C76" r:id="rId144" display="https://my.zakupivli.pro/remote/dispatcher/state_contracting_view/22806732" xr:uid="{00000000-0004-0000-0000-000092000000}"/>
    <hyperlink ref="B77" r:id="rId145" display="https://my.zakupivli.pro/remote/dispatcher/state_purchase_view/61131505" xr:uid="{00000000-0004-0000-0000-000093000000}"/>
    <hyperlink ref="C77" r:id="rId146" display="https://my.zakupivli.pro/remote/dispatcher/state_contracting_view/24848215" xr:uid="{00000000-0004-0000-0000-000094000000}"/>
    <hyperlink ref="B78" r:id="rId147" display="https://my.zakupivli.pro/remote/dispatcher/state_purchase_view/61211211" xr:uid="{00000000-0004-0000-0000-000095000000}"/>
    <hyperlink ref="C78" r:id="rId148" display="https://my.zakupivli.pro/remote/dispatcher/state_contracting_view/24883113" xr:uid="{00000000-0004-0000-0000-000096000000}"/>
    <hyperlink ref="B79" r:id="rId149" display="https://my.zakupivli.pro/remote/dispatcher/state_purchase_view/62166692" xr:uid="{00000000-0004-0000-0000-000097000000}"/>
    <hyperlink ref="C79" r:id="rId150" display="https://my.zakupivli.pro/remote/dispatcher/state_contracting_view/25296637" xr:uid="{00000000-0004-0000-0000-000098000000}"/>
    <hyperlink ref="B80" r:id="rId151" display="https://my.zakupivli.pro/remote/dispatcher/state_purchase_view/64708771" xr:uid="{00000000-0004-0000-0000-000099000000}"/>
    <hyperlink ref="C80" r:id="rId152" display="https://my.zakupivli.pro/remote/dispatcher/state_contracting_view/26389089" xr:uid="{00000000-0004-0000-0000-00009A000000}"/>
    <hyperlink ref="B81" r:id="rId153" display="https://my.zakupivli.pro/remote/dispatcher/state_purchase_view/56409626" xr:uid="{00000000-0004-0000-0000-00009B000000}"/>
    <hyperlink ref="C81" r:id="rId154" display="https://my.zakupivli.pro/remote/dispatcher/state_contracting_view/22797449" xr:uid="{00000000-0004-0000-0000-00009C000000}"/>
    <hyperlink ref="B82" r:id="rId155" display="https://my.zakupivli.pro/remote/dispatcher/state_purchase_view/52668156" xr:uid="{00000000-0004-0000-0000-00009D000000}"/>
    <hyperlink ref="C82" r:id="rId156" display="https://my.zakupivli.pro/remote/dispatcher/state_contracting_view/21181607" xr:uid="{00000000-0004-0000-0000-00009E000000}"/>
    <hyperlink ref="B83" r:id="rId157" display="https://my.zakupivli.pro/remote/dispatcher/state_purchase_view/48254785" xr:uid="{00000000-0004-0000-0000-00009F000000}"/>
    <hyperlink ref="C83" r:id="rId158" display="https://my.zakupivli.pro/remote/dispatcher/state_contracting_view/18865361" xr:uid="{00000000-0004-0000-0000-0000A0000000}"/>
    <hyperlink ref="B84" r:id="rId159" display="https://my.zakupivli.pro/remote/dispatcher/state_purchase_view/51765998" xr:uid="{00000000-0004-0000-0000-0000A1000000}"/>
    <hyperlink ref="C84" r:id="rId160" display="https://my.zakupivli.pro/remote/dispatcher/state_contracting_view/20788288" xr:uid="{00000000-0004-0000-0000-0000A2000000}"/>
    <hyperlink ref="B85" r:id="rId161" display="https://my.zakupivli.pro/remote/dispatcher/state_purchase_view/50192907" xr:uid="{00000000-0004-0000-0000-0000A3000000}"/>
    <hyperlink ref="C85" r:id="rId162" display="https://my.zakupivli.pro/remote/dispatcher/state_contracting_view/19692218" xr:uid="{00000000-0004-0000-0000-0000A4000000}"/>
    <hyperlink ref="B86" r:id="rId163" display="https://my.zakupivli.pro/remote/dispatcher/state_purchase_view/52518464" xr:uid="{00000000-0004-0000-0000-0000A5000000}"/>
    <hyperlink ref="C86" r:id="rId164" display="https://my.zakupivli.pro/remote/dispatcher/state_contracting_view/21116721" xr:uid="{00000000-0004-0000-0000-0000A6000000}"/>
    <hyperlink ref="B87" r:id="rId165" display="https://my.zakupivli.pro/remote/dispatcher/state_purchase_view/54643929" xr:uid="{00000000-0004-0000-0000-0000A7000000}"/>
    <hyperlink ref="C87" r:id="rId166" display="https://my.zakupivli.pro/remote/dispatcher/state_contracting_view/22031113" xr:uid="{00000000-0004-0000-0000-0000A8000000}"/>
    <hyperlink ref="B88" r:id="rId167" display="https://my.zakupivli.pro/remote/dispatcher/state_purchase_view/53241225" xr:uid="{00000000-0004-0000-0000-0000A9000000}"/>
    <hyperlink ref="C88" r:id="rId168" display="https://my.zakupivli.pro/remote/dispatcher/state_contracting_view/21428605" xr:uid="{00000000-0004-0000-0000-0000AA000000}"/>
    <hyperlink ref="B89" r:id="rId169" display="https://my.zakupivli.pro/remote/dispatcher/state_purchase_view/48266550" xr:uid="{00000000-0004-0000-0000-0000AB000000}"/>
    <hyperlink ref="C89" r:id="rId170" display="https://my.zakupivli.pro/remote/dispatcher/state_contracting_view/18870018" xr:uid="{00000000-0004-0000-0000-0000AC000000}"/>
    <hyperlink ref="B90" r:id="rId171" display="https://my.zakupivli.pro/remote/dispatcher/state_purchase_view/50963200" xr:uid="{00000000-0004-0000-0000-0000AD000000}"/>
    <hyperlink ref="C90" r:id="rId172" display="https://my.zakupivli.pro/remote/dispatcher/state_contracting_view/20283942" xr:uid="{00000000-0004-0000-0000-0000AE000000}"/>
    <hyperlink ref="B91" r:id="rId173" display="https://my.zakupivli.pro/remote/dispatcher/state_purchase_view/53885813" xr:uid="{00000000-0004-0000-0000-0000AF000000}"/>
    <hyperlink ref="C91" r:id="rId174" display="https://my.zakupivli.pro/remote/dispatcher/state_contracting_view/21703251" xr:uid="{00000000-0004-0000-0000-0000B0000000}"/>
    <hyperlink ref="B92" r:id="rId175" display="https://my.zakupivli.pro/remote/dispatcher/state_purchase_view/51078963" xr:uid="{00000000-0004-0000-0000-0000B1000000}"/>
    <hyperlink ref="C92" r:id="rId176" display="https://my.zakupivli.pro/remote/dispatcher/state_contracting_view/20333386" xr:uid="{00000000-0004-0000-0000-0000B2000000}"/>
    <hyperlink ref="B93" r:id="rId177" display="https://my.zakupivli.pro/remote/dispatcher/state_purchase_view/52519209" xr:uid="{00000000-0004-0000-0000-0000B3000000}"/>
    <hyperlink ref="C93" r:id="rId178" display="https://my.zakupivli.pro/remote/dispatcher/state_contracting_view/21116983" xr:uid="{00000000-0004-0000-0000-0000B4000000}"/>
    <hyperlink ref="B94" r:id="rId179" display="https://my.zakupivli.pro/remote/dispatcher/state_purchase_view/50194263" xr:uid="{00000000-0004-0000-0000-0000B5000000}"/>
    <hyperlink ref="C94" r:id="rId180" display="https://my.zakupivli.pro/remote/dispatcher/state_contracting_view/19692765" xr:uid="{00000000-0004-0000-0000-0000B6000000}"/>
    <hyperlink ref="B95" r:id="rId181" display="https://my.zakupivli.pro/remote/dispatcher/state_purchase_view/48253203" xr:uid="{00000000-0004-0000-0000-0000B7000000}"/>
    <hyperlink ref="C95" r:id="rId182" display="https://my.zakupivli.pro/remote/dispatcher/state_contracting_view/18864792" xr:uid="{00000000-0004-0000-0000-0000B8000000}"/>
    <hyperlink ref="B96" r:id="rId183" display="https://my.zakupivli.pro/remote/dispatcher/state_purchase_view/53910551" xr:uid="{00000000-0004-0000-0000-0000B9000000}"/>
    <hyperlink ref="C96" r:id="rId184" display="https://my.zakupivli.pro/remote/dispatcher/state_contracting_view/21714195" xr:uid="{00000000-0004-0000-0000-0000BA000000}"/>
    <hyperlink ref="B97" r:id="rId185" display="https://my.zakupivli.pro/remote/dispatcher/state_purchase_view/50466274" xr:uid="{00000000-0004-0000-0000-0000BB000000}"/>
    <hyperlink ref="C97" r:id="rId186" display="https://my.zakupivli.pro/remote/dispatcher/state_contracting_view/19813426" xr:uid="{00000000-0004-0000-0000-0000BC000000}"/>
    <hyperlink ref="B98" r:id="rId187" display="https://my.zakupivli.pro/remote/dispatcher/state_purchase_view/51079531" xr:uid="{00000000-0004-0000-0000-0000BD000000}"/>
    <hyperlink ref="C98" r:id="rId188" display="https://my.zakupivli.pro/remote/dispatcher/state_contracting_view/20333688" xr:uid="{00000000-0004-0000-0000-0000BE000000}"/>
    <hyperlink ref="B99" r:id="rId189" display="https://my.zakupivli.pro/remote/dispatcher/state_purchase_view/52517891" xr:uid="{00000000-0004-0000-0000-0000BF000000}"/>
    <hyperlink ref="C99" r:id="rId190" display="https://my.zakupivli.pro/remote/dispatcher/state_contracting_view/21116501" xr:uid="{00000000-0004-0000-0000-0000C0000000}"/>
    <hyperlink ref="B100" r:id="rId191" display="https://my.zakupivli.pro/remote/dispatcher/state_purchase_view/52518803" xr:uid="{00000000-0004-0000-0000-0000C1000000}"/>
    <hyperlink ref="C100" r:id="rId192" display="https://my.zakupivli.pro/remote/dispatcher/state_contracting_view/21116913" xr:uid="{00000000-0004-0000-0000-0000C2000000}"/>
    <hyperlink ref="B101" r:id="rId193" display="https://my.zakupivli.pro/remote/dispatcher/state_purchase_view/50900577" xr:uid="{00000000-0004-0000-0000-0000C3000000}"/>
    <hyperlink ref="C101" r:id="rId194" display="https://my.zakupivli.pro/remote/dispatcher/state_contracting_view/20256918" xr:uid="{00000000-0004-0000-0000-0000C4000000}"/>
    <hyperlink ref="B102" r:id="rId195" display="https://my.zakupivli.pro/remote/dispatcher/state_purchase_view/50586662" xr:uid="{00000000-0004-0000-0000-0000C5000000}"/>
    <hyperlink ref="C102" r:id="rId196" display="https://my.zakupivli.pro/remote/dispatcher/state_contracting_view/19867261" xr:uid="{00000000-0004-0000-0000-0000C6000000}"/>
    <hyperlink ref="B103" r:id="rId197" display="https://my.zakupivli.pro/remote/dispatcher/state_purchase_view/55495264" xr:uid="{00000000-0004-0000-0000-0000C7000000}"/>
    <hyperlink ref="C103" r:id="rId198" display="https://my.zakupivli.pro/remote/dispatcher/state_contracting_view/22395879" xr:uid="{00000000-0004-0000-0000-0000C8000000}"/>
    <hyperlink ref="B104" r:id="rId199" display="https://my.zakupivli.pro/remote/dispatcher/state_purchase_view/48259220" xr:uid="{00000000-0004-0000-0000-0000C9000000}"/>
    <hyperlink ref="C104" r:id="rId200" display="https://my.zakupivli.pro/remote/dispatcher/state_contracting_view/18867133" xr:uid="{00000000-0004-0000-0000-0000CA000000}"/>
    <hyperlink ref="B105" r:id="rId201" display="https://my.zakupivli.pro/remote/dispatcher/state_purchase_view/48261352" xr:uid="{00000000-0004-0000-0000-0000CB000000}"/>
    <hyperlink ref="C105" r:id="rId202" display="https://my.zakupivli.pro/remote/dispatcher/state_contracting_view/18867990" xr:uid="{00000000-0004-0000-0000-0000CC000000}"/>
    <hyperlink ref="B106" r:id="rId203" display="https://my.zakupivli.pro/remote/dispatcher/state_purchase_view/54044629" xr:uid="{00000000-0004-0000-0000-0000CD000000}"/>
    <hyperlink ref="C106" r:id="rId204" display="https://my.zakupivli.pro/remote/dispatcher/state_contracting_view/21772097" xr:uid="{00000000-0004-0000-0000-0000CE000000}"/>
    <hyperlink ref="B107" r:id="rId205" display="https://my.zakupivli.pro/remote/dispatcher/state_purchase_view/51463141" xr:uid="{00000000-0004-0000-0000-0000CF000000}"/>
    <hyperlink ref="C107" r:id="rId206" display="https://my.zakupivli.pro/remote/dispatcher/state_contracting_view/20657365" xr:uid="{00000000-0004-0000-0000-0000D0000000}"/>
    <hyperlink ref="B108" r:id="rId207" display="https://my.zakupivli.pro/remote/dispatcher/state_purchase_view/53132993" xr:uid="{00000000-0004-0000-0000-0000D1000000}"/>
    <hyperlink ref="C108" r:id="rId208" display="https://my.zakupivli.pro/remote/dispatcher/state_contracting_view/21382291" xr:uid="{00000000-0004-0000-0000-0000D2000000}"/>
    <hyperlink ref="B109" r:id="rId209" display="https://my.zakupivli.pro/remote/dispatcher/state_purchase_view/51080507" xr:uid="{00000000-0004-0000-0000-0000D3000000}"/>
    <hyperlink ref="C109" r:id="rId210" display="https://my.zakupivli.pro/remote/dispatcher/state_contracting_view/20334119" xr:uid="{00000000-0004-0000-0000-0000D4000000}"/>
    <hyperlink ref="B110" r:id="rId211" display="https://my.zakupivli.pro/remote/dispatcher/state_purchase_view/53714079" xr:uid="{00000000-0004-0000-0000-0000D5000000}"/>
    <hyperlink ref="C110" r:id="rId212" display="https://my.zakupivli.pro/remote/dispatcher/state_contracting_view/21629586" xr:uid="{00000000-0004-0000-0000-0000D6000000}"/>
    <hyperlink ref="B111" r:id="rId213" display="https://my.zakupivli.pro/remote/dispatcher/state_purchase_view/49033811" xr:uid="{00000000-0004-0000-0000-0000D7000000}"/>
    <hyperlink ref="C111" r:id="rId214" display="https://my.zakupivli.pro/remote/dispatcher/state_contracting_view/19193272" xr:uid="{00000000-0004-0000-0000-0000D8000000}"/>
    <hyperlink ref="B112" r:id="rId215" display="https://my.zakupivli.pro/remote/dispatcher/state_purchase_view/50193576" xr:uid="{00000000-0004-0000-0000-0000D9000000}"/>
    <hyperlink ref="C112" r:id="rId216" display="https://my.zakupivli.pro/remote/dispatcher/state_contracting_view/19692505" xr:uid="{00000000-0004-0000-0000-0000DA000000}"/>
    <hyperlink ref="B113" r:id="rId217" display="https://my.zakupivli.pro/remote/dispatcher/state_purchase_view/55437597" xr:uid="{00000000-0004-0000-0000-0000DB000000}"/>
    <hyperlink ref="C113" r:id="rId218" display="https://my.zakupivli.pro/remote/dispatcher/state_contracting_view/22371313" xr:uid="{00000000-0004-0000-0000-0000DC000000}"/>
    <hyperlink ref="B114" r:id="rId219" display="https://my.zakupivli.pro/remote/dispatcher/state_purchase_view/51764861" xr:uid="{00000000-0004-0000-0000-0000DD000000}"/>
    <hyperlink ref="C114" r:id="rId220" display="https://my.zakupivli.pro/remote/dispatcher/state_contracting_view/20787731" xr:uid="{00000000-0004-0000-0000-0000DE000000}"/>
    <hyperlink ref="B115" r:id="rId221" display="https://my.zakupivli.pro/remote/dispatcher/state_purchase_view/52518156" xr:uid="{00000000-0004-0000-0000-0000DF000000}"/>
    <hyperlink ref="C115" r:id="rId222" display="https://my.zakupivli.pro/remote/dispatcher/state_contracting_view/21116663" xr:uid="{00000000-0004-0000-0000-0000E0000000}"/>
    <hyperlink ref="B116" r:id="rId223" display="https://my.zakupivli.pro/remote/dispatcher/state_purchase_view/51765343" xr:uid="{00000000-0004-0000-0000-0000E1000000}"/>
    <hyperlink ref="C116" r:id="rId224" display="https://my.zakupivli.pro/remote/dispatcher/state_contracting_view/20787964" xr:uid="{00000000-0004-0000-0000-0000E2000000}"/>
    <hyperlink ref="B117" r:id="rId225" display="https://my.zakupivli.pro/remote/dispatcher/state_purchase_view/51764553" xr:uid="{00000000-0004-0000-0000-0000E3000000}"/>
    <hyperlink ref="C117" r:id="rId226" display="https://my.zakupivli.pro/remote/dispatcher/state_contracting_view/20787598" xr:uid="{00000000-0004-0000-0000-0000E4000000}"/>
    <hyperlink ref="B118" r:id="rId227" display="https://my.zakupivli.pro/remote/dispatcher/state_purchase_view/51079239" xr:uid="{00000000-0004-0000-0000-0000E5000000}"/>
    <hyperlink ref="C118" r:id="rId228" display="https://my.zakupivli.pro/remote/dispatcher/state_contracting_view/20333498" xr:uid="{00000000-0004-0000-0000-0000E6000000}"/>
    <hyperlink ref="B119" r:id="rId229" display="https://my.zakupivli.pro/remote/dispatcher/state_purchase_view/48281446" xr:uid="{00000000-0004-0000-0000-0000E7000000}"/>
    <hyperlink ref="C119" r:id="rId230" display="https://my.zakupivli.pro/remote/dispatcher/state_contracting_view/18875876" xr:uid="{00000000-0004-0000-0000-0000E8000000}"/>
    <hyperlink ref="B120" r:id="rId231" display="https://my.zakupivli.pro/remote/dispatcher/state_purchase_view/54044290" xr:uid="{00000000-0004-0000-0000-0000E9000000}"/>
    <hyperlink ref="C120" r:id="rId232" display="https://my.zakupivli.pro/remote/dispatcher/state_contracting_view/21771993" xr:uid="{00000000-0004-0000-0000-0000EA000000}"/>
    <hyperlink ref="B121" r:id="rId233" display="https://my.zakupivli.pro/remote/dispatcher/state_purchase_view/48282959" xr:uid="{00000000-0004-0000-0000-0000EB000000}"/>
    <hyperlink ref="C121" r:id="rId234" display="https://my.zakupivli.pro/remote/dispatcher/state_contracting_view/18876501" xr:uid="{00000000-0004-0000-0000-0000EC000000}"/>
    <hyperlink ref="B122" r:id="rId235" display="https://my.zakupivli.pro/remote/dispatcher/state_purchase_view/55036899" xr:uid="{00000000-0004-0000-0000-0000ED000000}"/>
    <hyperlink ref="C122" r:id="rId236" display="https://my.zakupivli.pro/remote/dispatcher/state_contracting_view/22199107" xr:uid="{00000000-0004-0000-0000-0000EE000000}"/>
    <hyperlink ref="B123" r:id="rId237" display="https://my.zakupivli.pro/remote/dispatcher/state_purchase_view/48264990" xr:uid="{00000000-0004-0000-0000-0000EF000000}"/>
    <hyperlink ref="C123" r:id="rId238" display="https://my.zakupivli.pro/remote/dispatcher/state_contracting_view/18869600" xr:uid="{00000000-0004-0000-0000-0000F0000000}"/>
    <hyperlink ref="B124" r:id="rId239" display="https://my.zakupivli.pro/remote/dispatcher/state_purchase_view/48285856" xr:uid="{00000000-0004-0000-0000-0000F1000000}"/>
    <hyperlink ref="C124" r:id="rId240" display="https://my.zakupivli.pro/remote/dispatcher/state_contracting_view/18877516" xr:uid="{00000000-0004-0000-0000-0000F2000000}"/>
    <hyperlink ref="B125" r:id="rId241" display="https://my.zakupivli.pro/remote/dispatcher/state_purchase_view/52543852" xr:uid="{00000000-0004-0000-0000-0000F3000000}"/>
    <hyperlink ref="C125" r:id="rId242" display="https://my.zakupivli.pro/remote/dispatcher/state_contracting_view/21127845" xr:uid="{00000000-0004-0000-0000-0000F4000000}"/>
    <hyperlink ref="B126" r:id="rId243" display="https://my.zakupivli.pro/remote/dispatcher/state_purchase_view/50303859" xr:uid="{00000000-0004-0000-0000-0000F5000000}"/>
    <hyperlink ref="C126" r:id="rId244" display="https://my.zakupivli.pro/remote/dispatcher/state_contracting_view/19740780" xr:uid="{00000000-0004-0000-0000-0000F6000000}"/>
    <hyperlink ref="B127" r:id="rId245" display="https://my.zakupivli.pro/remote/dispatcher/state_purchase_view/50964760" xr:uid="{00000000-0004-0000-0000-0000F7000000}"/>
    <hyperlink ref="C127" r:id="rId246" display="https://my.zakupivli.pro/remote/dispatcher/state_contracting_view/20284562" xr:uid="{00000000-0004-0000-0000-0000F8000000}"/>
    <hyperlink ref="B128" r:id="rId247" display="https://my.zakupivli.pro/remote/dispatcher/state_purchase_view/48257181" xr:uid="{00000000-0004-0000-0000-0000F9000000}"/>
    <hyperlink ref="C128" r:id="rId248" display="https://my.zakupivli.pro/remote/dispatcher/state_contracting_view/18866459" xr:uid="{00000000-0004-0000-0000-0000FA000000}"/>
    <hyperlink ref="B129" r:id="rId249" display="https://my.zakupivli.pro/remote/dispatcher/state_purchase_view/53395559" xr:uid="{00000000-0004-0000-0000-0000FB000000}"/>
    <hyperlink ref="C129" r:id="rId250" display="https://my.zakupivli.pro/remote/dispatcher/state_contracting_view/21494083" xr:uid="{00000000-0004-0000-0000-0000FC000000}"/>
    <hyperlink ref="B130" r:id="rId251" display="https://my.zakupivli.pro/remote/dispatcher/state_purchase_view/55035893" xr:uid="{00000000-0004-0000-0000-0000FD000000}"/>
    <hyperlink ref="C130" r:id="rId252" display="https://my.zakupivli.pro/remote/dispatcher/state_contracting_view/22198681" xr:uid="{00000000-0004-0000-0000-0000FE000000}"/>
    <hyperlink ref="B131" r:id="rId253" display="https://my.zakupivli.pro/remote/dispatcher/state_purchase_view/50576083" xr:uid="{00000000-0004-0000-0000-0000FF000000}"/>
    <hyperlink ref="C131" r:id="rId254" display="https://my.zakupivli.pro/remote/dispatcher/state_contracting_view/19862597" xr:uid="{00000000-0004-0000-0000-000000010000}"/>
    <hyperlink ref="B132" r:id="rId255" display="https://my.zakupivli.pro/remote/dispatcher/state_purchase_view/51760083" xr:uid="{00000000-0004-0000-0000-000001010000}"/>
    <hyperlink ref="C132" r:id="rId256" display="https://my.zakupivli.pro/remote/dispatcher/state_contracting_view/20785794" xr:uid="{00000000-0004-0000-0000-000002010000}"/>
    <hyperlink ref="B133" r:id="rId257" display="https://my.zakupivli.pro/remote/dispatcher/state_purchase_view/52518648" xr:uid="{00000000-0004-0000-0000-000003010000}"/>
    <hyperlink ref="C133" r:id="rId258" display="https://my.zakupivli.pro/remote/dispatcher/state_contracting_view/21116784" xr:uid="{00000000-0004-0000-0000-000004010000}"/>
    <hyperlink ref="B134" r:id="rId259" display="https://my.zakupivli.pro/remote/dispatcher/state_purchase_view/54614734" xr:uid="{00000000-0004-0000-0000-000005010000}"/>
    <hyperlink ref="C134" r:id="rId260" display="https://my.zakupivli.pro/remote/dispatcher/state_contracting_view/22018614" xr:uid="{00000000-0004-0000-0000-000006010000}"/>
    <hyperlink ref="B135" r:id="rId261" display="https://my.zakupivli.pro/remote/dispatcher/state_purchase_view/38287935" xr:uid="{00000000-0004-0000-0000-000007010000}"/>
    <hyperlink ref="C135" r:id="rId262" display="https://my.zakupivli.pro/remote/dispatcher/state_contracting_view/14431189" xr:uid="{00000000-0004-0000-0000-000008010000}"/>
    <hyperlink ref="B136" r:id="rId263" display="https://my.zakupivli.pro/remote/dispatcher/state_purchase_view/41568734" xr:uid="{00000000-0004-0000-0000-000009010000}"/>
    <hyperlink ref="C136" r:id="rId264" display="https://my.zakupivli.pro/remote/dispatcher/state_contracting_view/15948768" xr:uid="{00000000-0004-0000-0000-00000A010000}"/>
    <hyperlink ref="B137" r:id="rId265" display="https://my.zakupivli.pro/remote/dispatcher/state_purchase_view/41898076" xr:uid="{00000000-0004-0000-0000-00000B010000}"/>
    <hyperlink ref="C137" r:id="rId266" display="https://my.zakupivli.pro/remote/dispatcher/state_contracting_view/16089706" xr:uid="{00000000-0004-0000-0000-00000C010000}"/>
    <hyperlink ref="B138" r:id="rId267" display="https://my.zakupivli.pro/remote/dispatcher/state_purchase_view/44154729" xr:uid="{00000000-0004-0000-0000-00000D010000}"/>
    <hyperlink ref="C138" r:id="rId268" display="https://my.zakupivli.pro/remote/dispatcher/state_contracting_view/17110305" xr:uid="{00000000-0004-0000-0000-00000E010000}"/>
    <hyperlink ref="B139" r:id="rId269" display="https://my.zakupivli.pro/remote/dispatcher/state_purchase_view/45584712" xr:uid="{00000000-0004-0000-0000-00000F010000}"/>
    <hyperlink ref="C139" r:id="rId270" display="https://my.zakupivli.pro/remote/dispatcher/state_contracting_view/17721236" xr:uid="{00000000-0004-0000-0000-000010010000}"/>
    <hyperlink ref="B140" r:id="rId271" display="https://my.zakupivli.pro/remote/dispatcher/state_purchase_view/45244907" xr:uid="{00000000-0004-0000-0000-000011010000}"/>
    <hyperlink ref="C140" r:id="rId272" display="https://my.zakupivli.pro/remote/dispatcher/state_contracting_view/17805782" xr:uid="{00000000-0004-0000-0000-000013010000}"/>
    <hyperlink ref="B141" r:id="rId273" display="https://my.zakupivli.pro/remote/dispatcher/state_purchase_view/43975742" xr:uid="{00000000-0004-0000-0000-000014010000}"/>
    <hyperlink ref="C141" r:id="rId274" display="https://my.zakupivli.pro/remote/dispatcher/state_contracting_view/17032289" xr:uid="{00000000-0004-0000-0000-000015010000}"/>
    <hyperlink ref="B142" r:id="rId275" display="https://my.zakupivli.pro/remote/dispatcher/state_purchase_view/44979047" xr:uid="{00000000-0004-0000-0000-000016010000}"/>
    <hyperlink ref="C142" r:id="rId276" display="https://my.zakupivli.pro/remote/dispatcher/state_contracting_view/17463803" xr:uid="{00000000-0004-0000-0000-000017010000}"/>
    <hyperlink ref="B143" r:id="rId277" display="https://my.zakupivli.pro/remote/dispatcher/state_purchase_view/46005249" xr:uid="{00000000-0004-0000-0000-000018010000}"/>
    <hyperlink ref="C143" r:id="rId278" display="https://my.zakupivli.pro/remote/dispatcher/state_contracting_view/17898725" xr:uid="{00000000-0004-0000-0000-000019010000}"/>
    <hyperlink ref="B144" r:id="rId279" display="https://my.zakupivli.pro/remote/dispatcher/state_purchase_view/41570398" xr:uid="{00000000-0004-0000-0000-00001A010000}"/>
    <hyperlink ref="C144" r:id="rId280" display="https://my.zakupivli.pro/remote/dispatcher/state_contracting_view/15949452" xr:uid="{00000000-0004-0000-0000-00001B010000}"/>
    <hyperlink ref="B145" r:id="rId281" display="https://my.zakupivli.pro/remote/dispatcher/state_purchase_view/41569589" xr:uid="{00000000-0004-0000-0000-00001C010000}"/>
    <hyperlink ref="C145" r:id="rId282" display="https://my.zakupivli.pro/remote/dispatcher/state_contracting_view/15949326" xr:uid="{00000000-0004-0000-0000-00001D010000}"/>
    <hyperlink ref="B146" r:id="rId283" display="https://my.zakupivli.pro/remote/dispatcher/state_purchase_view/40016852" xr:uid="{00000000-0004-0000-0000-00001E010000}"/>
    <hyperlink ref="C146" r:id="rId284" display="https://my.zakupivli.pro/remote/dispatcher/state_contracting_view/15241914" xr:uid="{00000000-0004-0000-0000-00001F010000}"/>
    <hyperlink ref="B147" r:id="rId285" display="https://my.zakupivli.pro/remote/dispatcher/state_purchase_view/43219345" xr:uid="{00000000-0004-0000-0000-000020010000}"/>
    <hyperlink ref="C147" r:id="rId286" display="https://my.zakupivli.pro/remote/dispatcher/state_contracting_view/16686941" xr:uid="{00000000-0004-0000-0000-000021010000}"/>
    <hyperlink ref="B148" r:id="rId287" display="https://my.zakupivli.pro/remote/dispatcher/state_purchase_view/43215962" xr:uid="{00000000-0004-0000-0000-000022010000}"/>
    <hyperlink ref="C148" r:id="rId288" display="https://my.zakupivli.pro/remote/dispatcher/state_contracting_view/16685402" xr:uid="{00000000-0004-0000-0000-000023010000}"/>
    <hyperlink ref="B149" r:id="rId289" display="https://my.zakupivli.pro/remote/dispatcher/state_purchase_view/43145258" xr:uid="{00000000-0004-0000-0000-000024010000}"/>
    <hyperlink ref="C149" r:id="rId290" display="https://my.zakupivli.pro/remote/dispatcher/state_contracting_view/16653077" xr:uid="{00000000-0004-0000-0000-000025010000}"/>
    <hyperlink ref="B150" r:id="rId291" display="https://my.zakupivli.pro/remote/dispatcher/state_purchase_view/46009579" xr:uid="{00000000-0004-0000-0000-000026010000}"/>
    <hyperlink ref="C150" r:id="rId292" display="https://my.zakupivli.pro/remote/dispatcher/state_contracting_view/17900608" xr:uid="{00000000-0004-0000-0000-000027010000}"/>
    <hyperlink ref="B151" r:id="rId293" display="https://my.zakupivli.pro/remote/dispatcher/state_purchase_view/43218060" xr:uid="{00000000-0004-0000-0000-000028010000}"/>
    <hyperlink ref="C151" r:id="rId294" display="https://my.zakupivli.pro/remote/dispatcher/state_contracting_view/16686187" xr:uid="{00000000-0004-0000-0000-000029010000}"/>
    <hyperlink ref="B152" r:id="rId295" display="https://my.zakupivli.pro/remote/dispatcher/state_purchase_view/43493304" xr:uid="{00000000-0004-0000-0000-00002A010000}"/>
    <hyperlink ref="C152" r:id="rId296" display="https://my.zakupivli.pro/remote/dispatcher/state_contracting_view/16819504" xr:uid="{00000000-0004-0000-0000-00002B010000}"/>
    <hyperlink ref="B153" r:id="rId297" display="https://my.zakupivli.pro/remote/dispatcher/state_purchase_view/40015078" xr:uid="{00000000-0004-0000-0000-00002C010000}"/>
    <hyperlink ref="C153" r:id="rId298" display="https://my.zakupivli.pro/remote/dispatcher/state_contracting_view/15241176" xr:uid="{00000000-0004-0000-0000-00002D010000}"/>
    <hyperlink ref="B154" r:id="rId299" display="https://my.zakupivli.pro/remote/dispatcher/state_purchase_view/40090276" xr:uid="{00000000-0004-0000-0000-00002E010000}"/>
    <hyperlink ref="C154" r:id="rId300" display="https://my.zakupivli.pro/remote/dispatcher/state_contracting_view/15273574" xr:uid="{00000000-0004-0000-0000-00002F010000}"/>
    <hyperlink ref="B155" r:id="rId301" display="https://my.zakupivli.pro/remote/dispatcher/state_purchase_view/44120005" xr:uid="{00000000-0004-0000-0000-000030010000}"/>
    <hyperlink ref="C155" r:id="rId302" display="https://my.zakupivli.pro/remote/dispatcher/state_contracting_view/17094224" xr:uid="{00000000-0004-0000-0000-000031010000}"/>
    <hyperlink ref="B156" r:id="rId303" display="https://my.zakupivli.pro/remote/dispatcher/state_purchase_view/45514877" xr:uid="{00000000-0004-0000-0000-000032010000}"/>
    <hyperlink ref="C156" r:id="rId304" display="https://my.zakupivli.pro/remote/dispatcher/state_contracting_view/17691173" xr:uid="{00000000-0004-0000-0000-000033010000}"/>
    <hyperlink ref="B157" r:id="rId305" display="https://my.zakupivli.pro/remote/dispatcher/state_purchase_view/45341354" xr:uid="{00000000-0004-0000-0000-000034010000}"/>
    <hyperlink ref="C157" r:id="rId306" display="https://my.zakupivli.pro/remote/dispatcher/state_contracting_view/17616961" xr:uid="{00000000-0004-0000-0000-000035010000}"/>
    <hyperlink ref="B158" r:id="rId307" display="https://my.zakupivli.pro/remote/dispatcher/state_purchase_view/45576339" xr:uid="{00000000-0004-0000-0000-000036010000}"/>
    <hyperlink ref="C158" r:id="rId308" display="https://my.zakupivli.pro/remote/dispatcher/state_contracting_view/17717434" xr:uid="{00000000-0004-0000-0000-000037010000}"/>
    <hyperlink ref="B159" r:id="rId309" display="https://my.zakupivli.pro/remote/dispatcher/state_purchase_view/46002173" xr:uid="{00000000-0004-0000-0000-000038010000}"/>
    <hyperlink ref="C159" r:id="rId310" display="https://my.zakupivli.pro/remote/dispatcher/state_contracting_view/17897684" xr:uid="{00000000-0004-0000-0000-000039010000}"/>
    <hyperlink ref="B160" r:id="rId311" display="https://my.zakupivli.pro/remote/dispatcher/state_purchase_view/41568409" xr:uid="{00000000-0004-0000-0000-00003A010000}"/>
    <hyperlink ref="C160" r:id="rId312" display="https://my.zakupivli.pro/remote/dispatcher/state_contracting_view/15948507" xr:uid="{00000000-0004-0000-0000-00003B010000}"/>
    <hyperlink ref="B161" r:id="rId313" display="https://my.zakupivli.pro/remote/dispatcher/state_purchase_view/41570617" xr:uid="{00000000-0004-0000-0000-00003C010000}"/>
    <hyperlink ref="C161" r:id="rId314" display="https://my.zakupivli.pro/remote/dispatcher/state_contracting_view/15949595" xr:uid="{00000000-0004-0000-0000-00003D010000}"/>
    <hyperlink ref="B162" r:id="rId315" display="https://my.zakupivli.pro/remote/dispatcher/state_purchase_view/42837317" xr:uid="{00000000-0004-0000-0000-00003E010000}"/>
    <hyperlink ref="C162" r:id="rId316" display="https://my.zakupivli.pro/remote/dispatcher/state_contracting_view/16514667" xr:uid="{00000000-0004-0000-0000-00003F010000}"/>
    <hyperlink ref="B163" r:id="rId317" display="https://my.zakupivli.pro/remote/dispatcher/state_purchase_view/40091896" xr:uid="{00000000-0004-0000-0000-000040010000}"/>
    <hyperlink ref="C163" r:id="rId318" display="https://my.zakupivli.pro/remote/dispatcher/state_contracting_view/15274224" xr:uid="{00000000-0004-0000-0000-000041010000}"/>
    <hyperlink ref="B164" r:id="rId319" display="https://my.zakupivli.pro/remote/dispatcher/state_purchase_view/44121978" xr:uid="{00000000-0004-0000-0000-000042010000}"/>
    <hyperlink ref="C164" r:id="rId320" display="https://my.zakupivli.pro/remote/dispatcher/state_contracting_view/17095432" xr:uid="{00000000-0004-0000-0000-000043010000}"/>
    <hyperlink ref="B165" r:id="rId321" display="https://my.zakupivli.pro/remote/dispatcher/state_purchase_view/44121439" xr:uid="{00000000-0004-0000-0000-000044010000}"/>
    <hyperlink ref="C165" r:id="rId322" display="https://my.zakupivli.pro/remote/dispatcher/state_contracting_view/17095219" xr:uid="{00000000-0004-0000-0000-000045010000}"/>
    <hyperlink ref="B166" r:id="rId323" display="https://my.zakupivli.pro/remote/dispatcher/state_purchase_view/45740494" xr:uid="{00000000-0004-0000-0000-000046010000}"/>
    <hyperlink ref="C166" r:id="rId324" display="https://my.zakupivli.pro/remote/dispatcher/state_contracting_view/17786695" xr:uid="{00000000-0004-0000-0000-000047010000}"/>
    <hyperlink ref="B167" r:id="rId325" display="https://my.zakupivli.pro/remote/dispatcher/state_purchase_view/40669993" xr:uid="{00000000-0004-0000-0000-000048010000}"/>
    <hyperlink ref="C167" r:id="rId326" display="https://my.zakupivli.pro/remote/dispatcher/state_contracting_view/15540852" xr:uid="{00000000-0004-0000-0000-000049010000}"/>
    <hyperlink ref="B168" r:id="rId327" display="https://my.zakupivli.pro/remote/dispatcher/state_purchase_view/41933683" xr:uid="{00000000-0004-0000-0000-00004A010000}"/>
    <hyperlink ref="C168" r:id="rId328" display="https://my.zakupivli.pro/remote/dispatcher/state_contracting_view/16105044" xr:uid="{00000000-0004-0000-0000-00004B010000}"/>
    <hyperlink ref="B169" r:id="rId329" display="https://my.zakupivli.pro/remote/dispatcher/state_purchase_view/41571229" xr:uid="{00000000-0004-0000-0000-00004C010000}"/>
    <hyperlink ref="C169" r:id="rId330" display="https://my.zakupivli.pro/remote/dispatcher/state_contracting_view/15949707" xr:uid="{00000000-0004-0000-0000-00004D010000}"/>
    <hyperlink ref="B170" r:id="rId331" display="https://my.zakupivli.pro/remote/dispatcher/state_purchase_view/39988888" xr:uid="{00000000-0004-0000-0000-00004E010000}"/>
    <hyperlink ref="C170" r:id="rId332" display="https://my.zakupivli.pro/remote/dispatcher/state_contracting_view/15230138" xr:uid="{00000000-0004-0000-0000-00004F010000}"/>
    <hyperlink ref="B171" r:id="rId333" display="https://my.zakupivli.pro/remote/dispatcher/state_purchase_view/40015635" xr:uid="{00000000-0004-0000-0000-000050010000}"/>
    <hyperlink ref="C171" r:id="rId334" display="https://my.zakupivli.pro/remote/dispatcher/state_contracting_view/15241520" xr:uid="{00000000-0004-0000-0000-000051010000}"/>
    <hyperlink ref="B172" r:id="rId335" display="https://my.zakupivli.pro/remote/dispatcher/state_purchase_view/42836452" xr:uid="{00000000-0004-0000-0000-000052010000}"/>
    <hyperlink ref="C172" r:id="rId336" display="https://my.zakupivli.pro/remote/dispatcher/state_contracting_view/16514213" xr:uid="{00000000-0004-0000-0000-000053010000}"/>
    <hyperlink ref="B173" r:id="rId337" display="https://my.zakupivli.pro/remote/dispatcher/state_purchase_view/44121220" xr:uid="{00000000-0004-0000-0000-000054010000}"/>
    <hyperlink ref="C173" r:id="rId338" display="https://my.zakupivli.pro/remote/dispatcher/state_contracting_view/17095011" xr:uid="{00000000-0004-0000-0000-000055010000}"/>
    <hyperlink ref="B174" r:id="rId339" display="https://my.zakupivli.pro/remote/dispatcher/state_purchase_view/45632093" xr:uid="{00000000-0004-0000-0000-000056010000}"/>
    <hyperlink ref="C174" r:id="rId340" display="https://my.zakupivli.pro/remote/dispatcher/state_contracting_view/17740833" xr:uid="{00000000-0004-0000-0000-000057010000}"/>
    <hyperlink ref="B175" r:id="rId341" display="https://my.zakupivli.pro/remote/dispatcher/state_purchase_view/40090066" xr:uid="{00000000-0004-0000-0000-000058010000}"/>
    <hyperlink ref="C175" r:id="rId342" display="https://my.zakupivli.pro/remote/dispatcher/state_contracting_view/15273493" xr:uid="{00000000-0004-0000-0000-000059010000}"/>
    <hyperlink ref="B176" r:id="rId343" display="https://my.zakupivli.pro/remote/dispatcher/state_purchase_view/40013836" xr:uid="{00000000-0004-0000-0000-00005A010000}"/>
    <hyperlink ref="C176" r:id="rId344" display="https://my.zakupivli.pro/remote/dispatcher/state_contracting_view/15240633" xr:uid="{00000000-0004-0000-0000-00005B010000}"/>
    <hyperlink ref="B177" r:id="rId345" display="https://my.zakupivli.pro/remote/dispatcher/state_purchase_view/45942336" xr:uid="{00000000-0004-0000-0000-00005C010000}"/>
    <hyperlink ref="C177" r:id="rId346" display="https://my.zakupivli.pro/remote/dispatcher/state_contracting_view/17873991" xr:uid="{00000000-0004-0000-0000-00005D010000}"/>
    <hyperlink ref="B178" r:id="rId347" display="https://my.zakupivli.pro/remote/dispatcher/state_purchase_view/46004235" xr:uid="{00000000-0004-0000-0000-00005E010000}"/>
    <hyperlink ref="C178" r:id="rId348" display="https://my.zakupivli.pro/remote/dispatcher/state_contracting_view/17898674" xr:uid="{00000000-0004-0000-0000-00005F010000}"/>
    <hyperlink ref="B179" r:id="rId349" display="https://my.zakupivli.pro/remote/dispatcher/state_purchase_view/47306995" xr:uid="{00000000-0004-0000-0000-000060010000}"/>
    <hyperlink ref="C179" r:id="rId350" display="https://my.zakupivli.pro/remote/dispatcher/state_contracting_view/18450258" xr:uid="{00000000-0004-0000-0000-000061010000}"/>
    <hyperlink ref="B180" r:id="rId351" display="https://my.zakupivli.pro/remote/dispatcher/state_purchase_view/43490594" xr:uid="{00000000-0004-0000-0000-000062010000}"/>
    <hyperlink ref="C180" r:id="rId352" display="https://my.zakupivli.pro/remote/dispatcher/state_contracting_view/16817915" xr:uid="{00000000-0004-0000-0000-000063010000}"/>
    <hyperlink ref="B181" r:id="rId353" display="https://my.zakupivli.pro/remote/dispatcher/state_purchase_view/44979439" xr:uid="{00000000-0004-0000-0000-000064010000}"/>
    <hyperlink ref="C181" r:id="rId354" display="https://my.zakupivli.pro/remote/dispatcher/state_contracting_view/17464186" xr:uid="{00000000-0004-0000-0000-000065010000}"/>
    <hyperlink ref="B182" r:id="rId355" display="https://my.zakupivli.pro/remote/dispatcher/state_purchase_view/43217428" xr:uid="{00000000-0004-0000-0000-000066010000}"/>
    <hyperlink ref="C182" r:id="rId356" display="https://my.zakupivli.pro/remote/dispatcher/state_contracting_view/16686038" xr:uid="{00000000-0004-0000-0000-000067010000}"/>
    <hyperlink ref="B183" r:id="rId357" display="https://my.zakupivli.pro/remote/dispatcher/state_purchase_view/43219714" xr:uid="{00000000-0004-0000-0000-000068010000}"/>
    <hyperlink ref="C183" r:id="rId358" display="https://my.zakupivli.pro/remote/dispatcher/state_contracting_view/16687289" xr:uid="{00000000-0004-0000-0000-000069010000}"/>
    <hyperlink ref="B184" r:id="rId359" display="https://my.zakupivli.pro/remote/dispatcher/state_purchase_view/43218353" xr:uid="{00000000-0004-0000-0000-00006A010000}"/>
    <hyperlink ref="C184" r:id="rId360" display="https://my.zakupivli.pro/remote/dispatcher/state_contracting_view/16686618" xr:uid="{00000000-0004-0000-0000-00006B010000}"/>
    <hyperlink ref="B185" r:id="rId361" display="https://my.zakupivli.pro/remote/dispatcher/state_purchase_view/46757171" xr:uid="{00000000-0004-0000-0000-00006C010000}"/>
    <hyperlink ref="C185" r:id="rId362" display="https://my.zakupivli.pro/remote/dispatcher/state_contracting_view/18220732" xr:uid="{00000000-0004-0000-0000-00006D010000}"/>
    <hyperlink ref="B186" r:id="rId363" display="https://my.zakupivli.pro/remote/dispatcher/state_purchase_view/41569877" xr:uid="{00000000-0004-0000-0000-00006E010000}"/>
    <hyperlink ref="C186" r:id="rId364" display="https://my.zakupivli.pro/remote/dispatcher/state_contracting_view/15949224" xr:uid="{00000000-0004-0000-0000-00006F010000}"/>
    <hyperlink ref="B187" r:id="rId365" display="https://my.zakupivli.pro/remote/dispatcher/state_purchase_view/40095638" xr:uid="{00000000-0004-0000-0000-000070010000}"/>
    <hyperlink ref="C187" r:id="rId366" display="https://my.zakupivli.pro/remote/dispatcher/state_contracting_view/15276010" xr:uid="{00000000-0004-0000-0000-000071010000}"/>
    <hyperlink ref="B188" r:id="rId367" display="https://my.zakupivli.pro/remote/dispatcher/state_purchase_view/40094137" xr:uid="{00000000-0004-0000-0000-000072010000}"/>
    <hyperlink ref="C188" r:id="rId368" display="https://my.zakupivli.pro/remote/dispatcher/state_contracting_view/15275179" xr:uid="{00000000-0004-0000-0000-000073010000}"/>
    <hyperlink ref="B189" r:id="rId369" display="https://my.zakupivli.pro/remote/dispatcher/state_purchase_view/43373247" xr:uid="{00000000-0004-0000-0000-000074010000}"/>
    <hyperlink ref="C189" r:id="rId370" display="https://my.zakupivli.pro/remote/dispatcher/state_contracting_view/16759682" xr:uid="{00000000-0004-0000-0000-000075010000}"/>
    <hyperlink ref="B190" r:id="rId371" display="https://my.zakupivli.pro/remote/dispatcher/state_purchase_view/44122369" xr:uid="{00000000-0004-0000-0000-000076010000}"/>
    <hyperlink ref="C190" r:id="rId372" display="https://my.zakupivli.pro/remote/dispatcher/state_contracting_view/17095469" xr:uid="{00000000-0004-0000-0000-000077010000}"/>
    <hyperlink ref="B191" r:id="rId373" display="https://my.zakupivli.pro/remote/dispatcher/state_purchase_view/44125463" xr:uid="{00000000-0004-0000-0000-000078010000}"/>
    <hyperlink ref="C191" r:id="rId374" display="https://my.zakupivli.pro/remote/dispatcher/state_contracting_view/17096592" xr:uid="{00000000-0004-0000-0000-000079010000}"/>
    <hyperlink ref="B192" r:id="rId375" display="https://my.zakupivli.pro/remote/dispatcher/state_purchase_view/45574275" xr:uid="{00000000-0004-0000-0000-00007A010000}"/>
    <hyperlink ref="C192" r:id="rId376" display="https://my.zakupivli.pro/remote/dispatcher/state_contracting_view/17716914" xr:uid="{00000000-0004-0000-0000-00007B010000}"/>
    <hyperlink ref="B193" r:id="rId377" display="https://my.zakupivli.pro/remote/dispatcher/state_purchase_view/45580839" xr:uid="{00000000-0004-0000-0000-00007C010000}"/>
    <hyperlink ref="C193" r:id="rId378" display="https://my.zakupivli.pro/remote/dispatcher/state_contracting_view/17719433" xr:uid="{00000000-0004-0000-0000-00007D010000}"/>
    <hyperlink ref="B194" r:id="rId379" display="https://my.zakupivli.pro/remote/dispatcher/state_purchase_view/45940363" xr:uid="{00000000-0004-0000-0000-00007E010000}"/>
    <hyperlink ref="C194" r:id="rId380" display="https://my.zakupivli.pro/remote/dispatcher/state_contracting_view/17871422" xr:uid="{00000000-0004-0000-0000-00007F010000}"/>
    <hyperlink ref="B195" r:id="rId381" display="https://my.zakupivli.pro/remote/dispatcher/state_purchase_view/46339589" xr:uid="{00000000-0004-0000-0000-000080010000}"/>
    <hyperlink ref="C195" r:id="rId382" display="https://my.zakupivli.pro/remote/dispatcher/state_contracting_view/18043527" xr:uid="{00000000-0004-0000-0000-000081010000}"/>
    <hyperlink ref="B196" r:id="rId383" display="https://my.zakupivli.pro/remote/dispatcher/state_purchase_view/40016403" xr:uid="{00000000-0004-0000-0000-000082010000}"/>
    <hyperlink ref="C196" r:id="rId384" display="https://my.zakupivli.pro/remote/dispatcher/state_contracting_view/15241882" xr:uid="{00000000-0004-0000-0000-000083010000}"/>
    <hyperlink ref="B197" r:id="rId385" display="https://my.zakupivli.pro/remote/dispatcher/state_purchase_view/43669767" xr:uid="{00000000-0004-0000-0000-000084010000}"/>
    <hyperlink ref="C197" r:id="rId386" display="https://my.zakupivli.pro/remote/dispatcher/state_contracting_view/16899722" xr:uid="{00000000-0004-0000-0000-000085010000}"/>
    <hyperlink ref="B198" r:id="rId387" display="https://my.zakupivli.pro/remote/dispatcher/state_purchase_view/43379887" xr:uid="{00000000-0004-0000-0000-000086010000}"/>
    <hyperlink ref="C198" r:id="rId388" display="https://my.zakupivli.pro/remote/dispatcher/state_contracting_view/16763549" xr:uid="{00000000-0004-0000-0000-000087010000}"/>
    <hyperlink ref="B199" r:id="rId389" display="https://my.zakupivli.pro/remote/dispatcher/state_purchase_view/44067588" xr:uid="{00000000-0004-0000-0000-000088010000}"/>
    <hyperlink ref="C199" r:id="rId390" display="https://my.zakupivli.pro/remote/dispatcher/state_contracting_view/17071511" xr:uid="{00000000-0004-0000-0000-000089010000}"/>
    <hyperlink ref="B200" r:id="rId391" display="https://my.zakupivli.pro/remote/dispatcher/state_purchase_view/43506012" xr:uid="{00000000-0004-0000-0000-00008A010000}"/>
    <hyperlink ref="C200" r:id="rId392" display="https://my.zakupivli.pro/remote/dispatcher/state_contracting_view/16826136" xr:uid="{00000000-0004-0000-0000-00008B010000}"/>
    <hyperlink ref="B201" r:id="rId393" display="https://my.zakupivli.pro/remote/dispatcher/state_purchase_view/41568995" xr:uid="{00000000-0004-0000-0000-00008C010000}"/>
    <hyperlink ref="C201" r:id="rId394" display="https://my.zakupivli.pro/remote/dispatcher/state_contracting_view/15948937" xr:uid="{00000000-0004-0000-0000-00008D010000}"/>
    <hyperlink ref="B202" r:id="rId395" display="https://my.zakupivli.pro/remote/dispatcher/state_purchase_view/46755908" xr:uid="{00000000-0004-0000-0000-00008E010000}"/>
    <hyperlink ref="C202" r:id="rId396" display="https://my.zakupivli.pro/remote/dispatcher/state_contracting_view/18220426" xr:uid="{00000000-0004-0000-0000-00008F010000}"/>
    <hyperlink ref="B203" r:id="rId397" display="https://my.zakupivli.pro/remote/dispatcher/state_purchase_view/46341471" xr:uid="{00000000-0004-0000-0000-000090010000}"/>
    <hyperlink ref="C203" r:id="rId398" display="https://my.zakupivli.pro/remote/dispatcher/state_contracting_view/18044111" xr:uid="{00000000-0004-0000-0000-000091010000}"/>
    <hyperlink ref="B204" r:id="rId399" display="https://my.zakupivli.pro/remote/dispatcher/state_purchase_view/41345810" xr:uid="{00000000-0004-0000-0000-000092010000}"/>
    <hyperlink ref="C204" r:id="rId400" display="https://my.zakupivli.pro/remote/dispatcher/state_contracting_view/15854235" xr:uid="{00000000-0004-0000-0000-000093010000}"/>
    <hyperlink ref="B205" r:id="rId401" display="https://my.zakupivli.pro/remote/dispatcher/state_purchase_view/45690191" xr:uid="{00000000-0004-0000-0000-000094010000}"/>
    <hyperlink ref="C205" r:id="rId402" display="https://my.zakupivli.pro/remote/dispatcher/state_contracting_view/17765662" xr:uid="{00000000-0004-0000-0000-000095010000}"/>
    <hyperlink ref="B206" r:id="rId403" display="https://my.zakupivli.pro/remote/dispatcher/state_purchase_view/46006032" xr:uid="{00000000-0004-0000-0000-000096010000}"/>
    <hyperlink ref="C206" r:id="rId404" display="https://my.zakupivli.pro/remote/dispatcher/state_contracting_view/17899283" xr:uid="{00000000-0004-0000-0000-000097010000}"/>
    <hyperlink ref="B207" r:id="rId405" display="https://my.zakupivli.pro/remote/dispatcher/state_purchase_view/45690744" xr:uid="{00000000-0004-0000-0000-000098010000}"/>
    <hyperlink ref="C207" r:id="rId406" display="https://my.zakupivli.pro/remote/dispatcher/state_contracting_view/17765794" xr:uid="{00000000-0004-0000-0000-000099010000}"/>
    <hyperlink ref="B208" r:id="rId407" display="https://my.zakupivli.pro/remote/dispatcher/state_purchase_view/45689545" xr:uid="{00000000-0004-0000-0000-00009A010000}"/>
    <hyperlink ref="C208" r:id="rId408" display="https://my.zakupivli.pro/remote/dispatcher/state_contracting_view/17765305" xr:uid="{00000000-0004-0000-0000-00009B010000}"/>
    <hyperlink ref="B209" r:id="rId409" display="https://my.zakupivli.pro/remote/dispatcher/state_purchase_view/45691193" xr:uid="{00000000-0004-0000-0000-00009C010000}"/>
    <hyperlink ref="C209" r:id="rId410" display="https://my.zakupivli.pro/remote/dispatcher/state_contracting_view/17766255" xr:uid="{00000000-0004-0000-0000-00009D010000}"/>
    <hyperlink ref="B210" r:id="rId411" display="https://my.zakupivli.pro/remote/dispatcher/state_purchase_view/38612661" xr:uid="{00000000-0004-0000-0000-00009E010000}"/>
    <hyperlink ref="C210" r:id="rId412" display="https://my.zakupivli.pro/remote/dispatcher/state_contracting_view/14582537" xr:uid="{00000000-0004-0000-0000-00009F010000}"/>
    <hyperlink ref="B211" r:id="rId413" display="https://my.zakupivli.pro/remote/dispatcher/state_purchase_view/34349238" xr:uid="{00000000-0004-0000-0000-0000A0010000}"/>
    <hyperlink ref="C211" r:id="rId414" display="https://my.zakupivli.pro/remote/dispatcher/state_contracting_view/12503758" xr:uid="{00000000-0004-0000-0000-0000A1010000}"/>
    <hyperlink ref="B212" r:id="rId415" display="https://my.zakupivli.pro/remote/dispatcher/state_purchase_view/38458987" xr:uid="{00000000-0004-0000-0000-0000A2010000}"/>
    <hyperlink ref="C212" r:id="rId416" display="https://my.zakupivli.pro/remote/dispatcher/state_contracting_view/14511270" xr:uid="{00000000-0004-0000-0000-0000A3010000}"/>
    <hyperlink ref="B213" r:id="rId417" display="https://my.zakupivli.pro/remote/dispatcher/state_purchase_view/37244188" xr:uid="{00000000-0004-0000-0000-0000A4010000}"/>
    <hyperlink ref="C213" r:id="rId418" display="https://my.zakupivli.pro/remote/dispatcher/state_contracting_view/13916988" xr:uid="{00000000-0004-0000-0000-0000A5010000}"/>
    <hyperlink ref="B214" r:id="rId419" display="https://my.zakupivli.pro/remote/dispatcher/state_purchase_view/34345913" xr:uid="{00000000-0004-0000-0000-0000A6010000}"/>
    <hyperlink ref="C214" r:id="rId420" display="https://my.zakupivli.pro/remote/dispatcher/state_contracting_view/12502278" xr:uid="{00000000-0004-0000-0000-0000A7010000}"/>
    <hyperlink ref="B215" r:id="rId421" display="https://my.zakupivli.pro/remote/dispatcher/state_purchase_view/34307359" xr:uid="{00000000-0004-0000-0000-0000A8010000}"/>
    <hyperlink ref="C215" r:id="rId422" display="https://my.zakupivli.pro/remote/dispatcher/state_contracting_view/12486308" xr:uid="{00000000-0004-0000-0000-0000A9010000}"/>
    <hyperlink ref="B216" r:id="rId423" display="https://my.zakupivli.pro/remote/dispatcher/state_purchase_view/36456113" xr:uid="{00000000-0004-0000-0000-0000AA010000}"/>
    <hyperlink ref="C216" r:id="rId424" display="https://my.zakupivli.pro/remote/dispatcher/state_contracting_view/13540467" xr:uid="{00000000-0004-0000-0000-0000AB010000}"/>
    <hyperlink ref="B217" r:id="rId425" display="https://my.zakupivli.pro/remote/dispatcher/state_purchase_view/37244782" xr:uid="{00000000-0004-0000-0000-0000AC010000}"/>
    <hyperlink ref="C217" r:id="rId426" display="https://my.zakupivli.pro/remote/dispatcher/state_contracting_view/13917254" xr:uid="{00000000-0004-0000-0000-0000AD010000}"/>
    <hyperlink ref="B218" r:id="rId427" display="https://my.zakupivli.pro/remote/dispatcher/state_purchase_view/38632258" xr:uid="{00000000-0004-0000-0000-0000AE010000}"/>
    <hyperlink ref="C218" r:id="rId428" display="https://my.zakupivli.pro/remote/dispatcher/state_contracting_view/14591802" xr:uid="{00000000-0004-0000-0000-0000AF010000}"/>
    <hyperlink ref="B219" r:id="rId429" display="https://my.zakupivli.pro/remote/dispatcher/state_purchase_view/38620640" xr:uid="{00000000-0004-0000-0000-0000B0010000}"/>
    <hyperlink ref="C219" r:id="rId430" display="https://my.zakupivli.pro/remote/dispatcher/state_contracting_view/14586412" xr:uid="{00000000-0004-0000-0000-0000B1010000}"/>
    <hyperlink ref="B220" r:id="rId431" display="https://my.zakupivli.pro/remote/dispatcher/state_purchase_view/37147456" xr:uid="{00000000-0004-0000-0000-0000B2010000}"/>
    <hyperlink ref="C220" r:id="rId432" display="https://my.zakupivli.pro/remote/dispatcher/state_contracting_view/13872721" xr:uid="{00000000-0004-0000-0000-0000B3010000}"/>
    <hyperlink ref="B221" r:id="rId433" display="https://my.zakupivli.pro/remote/dispatcher/state_purchase_view/37242044" xr:uid="{00000000-0004-0000-0000-0000B4010000}"/>
    <hyperlink ref="C221" r:id="rId434" display="https://my.zakupivli.pro/remote/dispatcher/state_contracting_view/13915949" xr:uid="{00000000-0004-0000-0000-0000B5010000}"/>
    <hyperlink ref="B222" r:id="rId435" display="https://my.zakupivli.pro/remote/dispatcher/state_purchase_view/37243141" xr:uid="{00000000-0004-0000-0000-0000B6010000}"/>
    <hyperlink ref="C222" r:id="rId436" display="https://my.zakupivli.pro/remote/dispatcher/state_contracting_view/13916346" xr:uid="{00000000-0004-0000-0000-0000B7010000}"/>
    <hyperlink ref="B223" r:id="rId437" display="https://my.zakupivli.pro/remote/dispatcher/state_purchase_view/38447959" xr:uid="{00000000-0004-0000-0000-0000B8010000}"/>
    <hyperlink ref="C223" r:id="rId438" display="https://my.zakupivli.pro/remote/dispatcher/state_contracting_view/14506668" xr:uid="{00000000-0004-0000-0000-0000B9010000}"/>
    <hyperlink ref="B224" r:id="rId439" display="https://my.zakupivli.pro/remote/dispatcher/state_purchase_view/38484654" xr:uid="{00000000-0004-0000-0000-0000BA010000}"/>
    <hyperlink ref="C224" r:id="rId440" display="https://my.zakupivli.pro/remote/dispatcher/state_contracting_view/14523296" xr:uid="{00000000-0004-0000-0000-0000BB010000}"/>
    <hyperlink ref="B225" r:id="rId441" display="https://my.zakupivli.pro/remote/dispatcher/state_purchase_view/38613911" xr:uid="{00000000-0004-0000-0000-0000BC010000}"/>
    <hyperlink ref="C225" r:id="rId442" display="https://my.zakupivli.pro/remote/dispatcher/state_contracting_view/14583164" xr:uid="{00000000-0004-0000-0000-0000BD010000}"/>
    <hyperlink ref="B226" r:id="rId443" display="https://my.zakupivli.pro/remote/dispatcher/state_purchase_view/34313033" xr:uid="{00000000-0004-0000-0000-0000BE010000}"/>
    <hyperlink ref="C226" r:id="rId444" display="https://my.zakupivli.pro/remote/dispatcher/state_contracting_view/12488485" xr:uid="{00000000-0004-0000-0000-0000BF010000}"/>
    <hyperlink ref="B227" r:id="rId445" display="https://my.zakupivli.pro/remote/dispatcher/state_purchase_view/36325859" xr:uid="{00000000-0004-0000-0000-0000C0010000}"/>
    <hyperlink ref="C227" r:id="rId446" display="https://my.zakupivli.pro/remote/dispatcher/state_contracting_view/13483100" xr:uid="{00000000-0004-0000-0000-0000C1010000}"/>
    <hyperlink ref="B228" r:id="rId447" display="https://my.zakupivli.pro/remote/dispatcher/state_purchase_view/36859183" xr:uid="{00000000-0004-0000-0000-0000C2010000}"/>
    <hyperlink ref="C228" r:id="rId448" display="https://my.zakupivli.pro/remote/dispatcher/state_contracting_view/13732652" xr:uid="{00000000-0004-0000-0000-0000C3010000}"/>
    <hyperlink ref="B229" r:id="rId449" display="https://my.zakupivli.pro/remote/dispatcher/state_purchase_view/36368272" xr:uid="{00000000-0004-0000-0000-0000C4010000}"/>
    <hyperlink ref="C229" r:id="rId450" display="https://my.zakupivli.pro/remote/dispatcher/state_contracting_view/13495784" xr:uid="{00000000-0004-0000-0000-0000C5010000}"/>
    <hyperlink ref="B230" r:id="rId451" display="https://my.zakupivli.pro/remote/dispatcher/state_purchase_view/36098083" xr:uid="{00000000-0004-0000-0000-0000C6010000}"/>
    <hyperlink ref="C230" r:id="rId452" display="https://my.zakupivli.pro/remote/dispatcher/state_contracting_view/13354879" xr:uid="{00000000-0004-0000-0000-0000C7010000}"/>
    <hyperlink ref="B231" r:id="rId453" display="https://my.zakupivli.pro/remote/dispatcher/state_purchase_view/37296834" xr:uid="{00000000-0004-0000-0000-0000C8010000}"/>
    <hyperlink ref="C231" r:id="rId454" display="https://my.zakupivli.pro/remote/dispatcher/state_contracting_view/13942804" xr:uid="{00000000-0004-0000-0000-0000C9010000}"/>
    <hyperlink ref="B232" r:id="rId455" display="https://my.zakupivli.pro/remote/dispatcher/state_purchase_view/33577588" xr:uid="{00000000-0004-0000-0000-0000CA010000}"/>
    <hyperlink ref="C232" r:id="rId456" display="https://my.zakupivli.pro/remote/dispatcher/state_contracting_view/12457473" xr:uid="{00000000-0004-0000-0000-0000CB010000}"/>
    <hyperlink ref="B233" r:id="rId457" display="https://my.zakupivli.pro/remote/dispatcher/state_purchase_view/33832143" xr:uid="{00000000-0004-0000-0000-0000CC010000}"/>
    <hyperlink ref="C233" r:id="rId458" display="https://my.zakupivli.pro/remote/dispatcher/state_contracting_view/12457699" xr:uid="{00000000-0004-0000-0000-0000CD010000}"/>
    <hyperlink ref="B234" r:id="rId459" display="https://my.zakupivli.pro/remote/dispatcher/state_purchase_view/34343688" xr:uid="{00000000-0004-0000-0000-0000CE010000}"/>
    <hyperlink ref="C234" r:id="rId460" display="https://my.zakupivli.pro/remote/dispatcher/state_contracting_view/12501097" xr:uid="{00000000-0004-0000-0000-0000CF010000}"/>
    <hyperlink ref="B235" r:id="rId461" display="https://my.zakupivli.pro/remote/dispatcher/state_purchase_view/34319014" xr:uid="{00000000-0004-0000-0000-0000D0010000}"/>
    <hyperlink ref="C235" r:id="rId462" display="https://my.zakupivli.pro/remote/dispatcher/state_contracting_view/12491070" xr:uid="{00000000-0004-0000-0000-0000D1010000}"/>
    <hyperlink ref="B236" r:id="rId463" display="https://my.zakupivli.pro/remote/dispatcher/state_purchase_view/34654231" xr:uid="{00000000-0004-0000-0000-0000D2010000}"/>
    <hyperlink ref="C236" r:id="rId464" display="https://my.zakupivli.pro/remote/dispatcher/state_contracting_view/12642386" xr:uid="{00000000-0004-0000-0000-0000D3010000}"/>
    <hyperlink ref="B237" r:id="rId465" display="https://my.zakupivli.pro/remote/dispatcher/state_purchase_view/37958943" xr:uid="{00000000-0004-0000-0000-0000D4010000}"/>
    <hyperlink ref="C237" r:id="rId466" display="https://my.zakupivli.pro/remote/dispatcher/state_contracting_view/14266621" xr:uid="{00000000-0004-0000-0000-0000D5010000}"/>
    <hyperlink ref="B238" r:id="rId467" display="https://my.zakupivli.pro/remote/dispatcher/state_purchase_view/38460224" xr:uid="{00000000-0004-0000-0000-0000D6010000}"/>
    <hyperlink ref="C238" r:id="rId468" display="https://my.zakupivli.pro/remote/dispatcher/state_contracting_view/14511965" xr:uid="{00000000-0004-0000-0000-0000D7010000}"/>
    <hyperlink ref="B239" r:id="rId469" display="https://my.zakupivli.pro/remote/dispatcher/state_purchase_view/37297252" xr:uid="{00000000-0004-0000-0000-0000D8010000}"/>
    <hyperlink ref="C239" r:id="rId470" display="https://my.zakupivli.pro/remote/dispatcher/state_contracting_view/13943001" xr:uid="{00000000-0004-0000-0000-0000D9010000}"/>
    <hyperlink ref="B240" r:id="rId471" display="https://my.zakupivli.pro/remote/dispatcher/state_purchase_view/34475836" xr:uid="{00000000-0004-0000-0000-0000DA010000}"/>
    <hyperlink ref="C240" r:id="rId472" display="https://my.zakupivli.pro/remote/dispatcher/state_contracting_view/12560135" xr:uid="{00000000-0004-0000-0000-0000DB010000}"/>
    <hyperlink ref="B241" r:id="rId473" display="https://my.zakupivli.pro/remote/dispatcher/state_purchase_view/36531506" xr:uid="{00000000-0004-0000-0000-0000DC010000}"/>
    <hyperlink ref="C241" r:id="rId474" display="https://my.zakupivli.pro/remote/dispatcher/state_contracting_view/13578192" xr:uid="{00000000-0004-0000-0000-0000DD010000}"/>
    <hyperlink ref="B242" r:id="rId475" display="https://my.zakupivli.pro/remote/dispatcher/state_purchase_view/34342047" xr:uid="{00000000-0004-0000-0000-0000DE010000}"/>
    <hyperlink ref="C242" r:id="rId476" display="https://my.zakupivli.pro/remote/dispatcher/state_contracting_view/12500126" xr:uid="{00000000-0004-0000-0000-0000DF010000}"/>
    <hyperlink ref="B243" r:id="rId477" display="https://my.zakupivli.pro/remote/dispatcher/state_purchase_view/34316442" xr:uid="{00000000-0004-0000-0000-0000E0010000}"/>
    <hyperlink ref="C243" r:id="rId478" display="https://my.zakupivli.pro/remote/dispatcher/state_contracting_view/12489814" xr:uid="{00000000-0004-0000-0000-0000E1010000}"/>
    <hyperlink ref="B244" r:id="rId479" display="https://my.zakupivli.pro/remote/dispatcher/state_purchase_view/34457199" xr:uid="{00000000-0004-0000-0000-0000E2010000}"/>
    <hyperlink ref="C244" r:id="rId480" display="https://my.zakupivli.pro/remote/dispatcher/state_contracting_view/12552372" xr:uid="{00000000-0004-0000-0000-0000E3010000}"/>
    <hyperlink ref="B245" r:id="rId481" display="https://my.zakupivli.pro/remote/dispatcher/state_purchase_view/34574944" xr:uid="{00000000-0004-0000-0000-0000E4010000}"/>
    <hyperlink ref="C245" r:id="rId482" display="https://my.zakupivli.pro/remote/dispatcher/state_contracting_view/12605354" xr:uid="{00000000-0004-0000-0000-0000E5010000}"/>
    <hyperlink ref="B246" r:id="rId483" display="https://my.zakupivli.pro/remote/dispatcher/state_purchase_view/38630153" xr:uid="{00000000-0004-0000-0000-0000E6010000}"/>
    <hyperlink ref="C246" r:id="rId484" display="https://my.zakupivli.pro/remote/dispatcher/state_contracting_view/14590754" xr:uid="{00000000-0004-0000-0000-0000E7010000}"/>
    <hyperlink ref="B247" r:id="rId485" display="https://my.zakupivli.pro/remote/dispatcher/state_purchase_view/36326015" xr:uid="{00000000-0004-0000-0000-0000E8010000}"/>
    <hyperlink ref="C247" r:id="rId486" display="https://my.zakupivli.pro/remote/dispatcher/state_contracting_view/13483111" xr:uid="{00000000-0004-0000-0000-0000E9010000}"/>
    <hyperlink ref="B248" r:id="rId487" display="https://my.zakupivli.pro/remote/dispatcher/state_purchase_view/38458050" xr:uid="{00000000-0004-0000-0000-0000EA010000}"/>
    <hyperlink ref="C248" r:id="rId488" display="https://my.zakupivli.pro/remote/dispatcher/state_contracting_view/14510888" xr:uid="{00000000-0004-0000-0000-0000EB010000}"/>
    <hyperlink ref="B249" r:id="rId489" display="https://my.zakupivli.pro/remote/dispatcher/state_purchase_view/38217616" xr:uid="{00000000-0004-0000-0000-0000EC010000}"/>
    <hyperlink ref="C249" r:id="rId490" display="https://my.zakupivli.pro/remote/dispatcher/state_contracting_view/14397272" xr:uid="{00000000-0004-0000-0000-0000ED010000}"/>
    <hyperlink ref="B250" r:id="rId491" display="https://my.zakupivli.pro/remote/dispatcher/state_purchase_view/38481594" xr:uid="{00000000-0004-0000-0000-0000EE010000}"/>
    <hyperlink ref="C250" r:id="rId492" display="https://my.zakupivli.pro/remote/dispatcher/state_contracting_view/14521860" xr:uid="{00000000-0004-0000-0000-0000EF010000}"/>
    <hyperlink ref="B251" r:id="rId493" display="https://my.zakupivli.pro/remote/dispatcher/state_purchase_view/36205032" xr:uid="{00000000-0004-0000-0000-0000F0010000}"/>
    <hyperlink ref="C251" r:id="rId494" display="https://my.zakupivli.pro/remote/dispatcher/state_contracting_view/13413632" xr:uid="{00000000-0004-0000-0000-0000F1010000}"/>
    <hyperlink ref="B252" r:id="rId495" display="https://my.zakupivli.pro/remote/dispatcher/state_purchase_view/38059346" xr:uid="{00000000-0004-0000-0000-0000F2010000}"/>
    <hyperlink ref="C252" r:id="rId496" display="https://my.zakupivli.pro/remote/dispatcher/state_contracting_view/14318003" xr:uid="{00000000-0004-0000-0000-0000F3010000}"/>
    <hyperlink ref="B253" r:id="rId497" display="https://my.zakupivli.pro/remote/dispatcher/state_purchase_view/38061608" xr:uid="{00000000-0004-0000-0000-0000F4010000}"/>
    <hyperlink ref="C253" r:id="rId498" display="https://my.zakupivli.pro/remote/dispatcher/state_contracting_view/14318054" xr:uid="{00000000-0004-0000-0000-0000F5010000}"/>
    <hyperlink ref="B254" r:id="rId499" display="https://my.zakupivli.pro/remote/dispatcher/state_purchase_view/38062107" xr:uid="{00000000-0004-0000-0000-0000F6010000}"/>
    <hyperlink ref="C254" r:id="rId500" display="https://my.zakupivli.pro/remote/dispatcher/state_contracting_view/14318097" xr:uid="{00000000-0004-0000-0000-0000F7010000}"/>
    <hyperlink ref="B255" r:id="rId501" display="https://my.zakupivli.pro/remote/dispatcher/state_purchase_view/36205133" xr:uid="{00000000-0004-0000-0000-0000F8010000}"/>
    <hyperlink ref="C255" r:id="rId502" display="https://my.zakupivli.pro/remote/dispatcher/state_contracting_view/13413644" xr:uid="{00000000-0004-0000-0000-0000F9010000}"/>
    <hyperlink ref="B256" r:id="rId503" display="https://my.zakupivli.pro/remote/dispatcher/state_purchase_view/37239533" xr:uid="{00000000-0004-0000-0000-0000FA010000}"/>
    <hyperlink ref="C256" r:id="rId504" display="https://my.zakupivli.pro/remote/dispatcher/state_contracting_view/13915301" xr:uid="{00000000-0004-0000-0000-0000FB010000}"/>
    <hyperlink ref="B257" r:id="rId505" display="https://my.zakupivli.pro/remote/dispatcher/state_purchase_view/37238635" xr:uid="{00000000-0004-0000-0000-0000FC010000}"/>
    <hyperlink ref="C257" r:id="rId506" display="https://my.zakupivli.pro/remote/dispatcher/state_contracting_view/13914203" xr:uid="{00000000-0004-0000-0000-0000FD010000}"/>
    <hyperlink ref="B258" r:id="rId507" display="https://my.zakupivli.pro/remote/dispatcher/state_purchase_view/36205243" xr:uid="{00000000-0004-0000-0000-0000FE010000}"/>
    <hyperlink ref="C258" r:id="rId508" display="https://my.zakupivli.pro/remote/dispatcher/state_contracting_view/13413657" xr:uid="{00000000-0004-0000-0000-0000FF010000}"/>
    <hyperlink ref="B259" r:id="rId509" display="https://my.zakupivli.pro/remote/dispatcher/state_purchase_view/36324976" xr:uid="{00000000-0004-0000-0000-000000020000}"/>
    <hyperlink ref="C259" r:id="rId510" display="https://my.zakupivli.pro/remote/dispatcher/state_contracting_view/13483269" xr:uid="{00000000-0004-0000-0000-000001020000}"/>
    <hyperlink ref="B260" r:id="rId511" display="https://my.zakupivli.pro/remote/dispatcher/state_purchase_view/38061090" xr:uid="{00000000-0004-0000-0000-000002020000}"/>
    <hyperlink ref="C260" r:id="rId512" display="https://my.zakupivli.pro/remote/dispatcher/state_contracting_view/14318060" xr:uid="{00000000-0004-0000-0000-000003020000}"/>
    <hyperlink ref="B261" r:id="rId513" display="https://my.zakupivli.pro/remote/dispatcher/state_purchase_view/36325184" xr:uid="{00000000-0004-0000-0000-000004020000}"/>
    <hyperlink ref="C261" r:id="rId514" display="https://my.zakupivli.pro/remote/dispatcher/state_contracting_view/13483182" xr:uid="{00000000-0004-0000-0000-000005020000}"/>
    <hyperlink ref="B262" r:id="rId515" display="https://my.zakupivli.pro/remote/dispatcher/state_purchase_view/36324385" xr:uid="{00000000-0004-0000-0000-000006020000}"/>
    <hyperlink ref="C262" r:id="rId516" display="https://my.zakupivli.pro/remote/dispatcher/state_contracting_view/13483251" xr:uid="{00000000-0004-0000-0000-000007020000}"/>
    <hyperlink ref="B263" r:id="rId517" display="https://my.zakupivli.pro/remote/dispatcher/state_purchase_view/38610396" xr:uid="{00000000-0004-0000-0000-000008020000}"/>
    <hyperlink ref="C263" r:id="rId518" display="https://my.zakupivli.pro/remote/dispatcher/state_contracting_view/14581618" xr:uid="{00000000-0004-0000-0000-000009020000}"/>
    <hyperlink ref="B264" r:id="rId519" display="https://my.zakupivli.pro/remote/dispatcher/state_purchase_view/32708516" xr:uid="{00000000-0004-0000-0000-00000A020000}"/>
    <hyperlink ref="C264" r:id="rId520" display="https://my.zakupivli.pro/remote/dispatcher/state_contracting_view/11746605" xr:uid="{00000000-0004-0000-0000-00000B020000}"/>
    <hyperlink ref="B265" r:id="rId521" display="https://my.zakupivli.pro/remote/dispatcher/state_purchase_view/35504177" xr:uid="{00000000-0004-0000-0000-00000C020000}"/>
    <hyperlink ref="C265" r:id="rId522" display="https://my.zakupivli.pro/remote/dispatcher/state_contracting_view/13045346" xr:uid="{00000000-0004-0000-0000-00000D020000}"/>
    <hyperlink ref="B266" r:id="rId523" display="https://my.zakupivli.pro/remote/dispatcher/state_purchase_view/35504413" xr:uid="{00000000-0004-0000-0000-00000E020000}"/>
    <hyperlink ref="C266" r:id="rId524" display="https://my.zakupivli.pro/remote/dispatcher/state_contracting_view/13045398" xr:uid="{00000000-0004-0000-0000-00000F020000}"/>
    <hyperlink ref="B267" r:id="rId525" display="https://my.zakupivli.pro/remote/dispatcher/state_purchase_view/35503836" xr:uid="{00000000-0004-0000-0000-000010020000}"/>
    <hyperlink ref="C267" r:id="rId526" display="https://my.zakupivli.pro/remote/dispatcher/state_contracting_view/13045075" xr:uid="{00000000-0004-0000-0000-000011020000}"/>
    <hyperlink ref="B268" r:id="rId527" display="https://my.zakupivli.pro/remote/dispatcher/state_purchase_view/35503944" xr:uid="{00000000-0004-0000-0000-000012020000}"/>
    <hyperlink ref="C268" r:id="rId528" display="https://my.zakupivli.pro/remote/dispatcher/state_contracting_view/13045127" xr:uid="{00000000-0004-0000-0000-000013020000}"/>
    <hyperlink ref="B269" r:id="rId529" display="https://my.zakupivli.pro/remote/dispatcher/state_purchase_view/30052964" xr:uid="{00000000-0004-0000-0000-000014020000}"/>
    <hyperlink ref="C269" r:id="rId530" display="https://my.zakupivli.pro/remote/dispatcher/state_contracting_view/10524716" xr:uid="{00000000-0004-0000-0000-000015020000}"/>
    <hyperlink ref="B270" r:id="rId531" display="https://my.zakupivli.pro/remote/dispatcher/state_purchase_view/32147129" xr:uid="{00000000-0004-0000-0000-000016020000}"/>
    <hyperlink ref="C270" r:id="rId532" display="https://my.zakupivli.pro/remote/dispatcher/state_contracting_view/11488212" xr:uid="{00000000-0004-0000-0000-000017020000}"/>
    <hyperlink ref="B271" r:id="rId533" display="https://my.zakupivli.pro/remote/dispatcher/state_purchase_view/29280212" xr:uid="{00000000-0004-0000-0000-000018020000}"/>
    <hyperlink ref="C271" r:id="rId534" display="https://my.zakupivli.pro/remote/dispatcher/state_contracting_view/10167195" xr:uid="{00000000-0004-0000-0000-000019020000}"/>
    <hyperlink ref="B272" r:id="rId535" display="https://my.zakupivli.pro/remote/dispatcher/state_purchase_view/23138868" xr:uid="{00000000-0004-0000-0000-00001A020000}"/>
    <hyperlink ref="C272" r:id="rId536" display="https://my.zakupivli.pro/remote/dispatcher/state_contracting_view/7291559" xr:uid="{00000000-0004-0000-0000-00001B020000}"/>
    <hyperlink ref="B273" r:id="rId537" display="https://my.zakupivli.pro/remote/dispatcher/state_purchase_view/25734927" xr:uid="{00000000-0004-0000-0000-00001C020000}"/>
    <hyperlink ref="C273" r:id="rId538" display="https://my.zakupivli.pro/remote/dispatcher/state_contracting_view/8487637" xr:uid="{00000000-0004-0000-0000-00001D020000}"/>
    <hyperlink ref="B274" r:id="rId539" display="https://my.zakupivli.pro/remote/dispatcher/state_purchase_view/25817206" xr:uid="{00000000-0004-0000-0000-00001E020000}"/>
    <hyperlink ref="C274" r:id="rId540" display="https://my.zakupivli.pro/remote/dispatcher/state_contracting_view/8526341" xr:uid="{00000000-0004-0000-0000-00001F020000}"/>
    <hyperlink ref="B275" r:id="rId541" display="https://my.zakupivli.pro/remote/dispatcher/state_purchase_view/23212298" xr:uid="{00000000-0004-0000-0000-000020020000}"/>
    <hyperlink ref="C275" r:id="rId542" display="https://my.zakupivli.pro/remote/dispatcher/state_contracting_view/7315667" xr:uid="{00000000-0004-0000-0000-000021020000}"/>
    <hyperlink ref="B276" r:id="rId543" display="https://my.zakupivli.pro/remote/dispatcher/state_purchase_view/26148964" xr:uid="{00000000-0004-0000-0000-000022020000}"/>
    <hyperlink ref="C276" r:id="rId544" display="https://my.zakupivli.pro/remote/dispatcher/state_contracting_view/8685191" xr:uid="{00000000-0004-0000-0000-000023020000}"/>
    <hyperlink ref="B277" r:id="rId545" display="https://my.zakupivli.pro/remote/dispatcher/state_purchase_view/27046088" xr:uid="{00000000-0004-0000-0000-000024020000}"/>
    <hyperlink ref="C277" r:id="rId546" display="https://my.zakupivli.pro/remote/dispatcher/state_contracting_view/9114172" xr:uid="{00000000-0004-0000-0000-000025020000}"/>
    <hyperlink ref="B278" r:id="rId547" display="https://my.zakupivli.pro/remote/dispatcher/state_purchase_view/28576694" xr:uid="{00000000-0004-0000-0000-000026020000}"/>
    <hyperlink ref="C278" r:id="rId548" display="https://my.zakupivli.pro/remote/dispatcher/state_contracting_view/9840827" xr:uid="{00000000-0004-0000-0000-000027020000}"/>
    <hyperlink ref="B279" r:id="rId549" display="https://my.zakupivli.pro/remote/dispatcher/state_purchase_view/26942312" xr:uid="{00000000-0004-0000-0000-000028020000}"/>
    <hyperlink ref="C279" r:id="rId550" display="https://my.zakupivli.pro/remote/dispatcher/state_contracting_view/9064638" xr:uid="{00000000-0004-0000-0000-000029020000}"/>
    <hyperlink ref="B280" r:id="rId551" display="https://my.zakupivli.pro/remote/dispatcher/state_purchase_view/27049509" xr:uid="{00000000-0004-0000-0000-00002A020000}"/>
    <hyperlink ref="C280" r:id="rId552" display="https://my.zakupivli.pro/remote/dispatcher/state_contracting_view/9115233" xr:uid="{00000000-0004-0000-0000-00002B020000}"/>
    <hyperlink ref="B281" r:id="rId553" display="https://my.zakupivli.pro/remote/dispatcher/state_purchase_view/23127613" xr:uid="{00000000-0004-0000-0000-00002C020000}"/>
    <hyperlink ref="C281" r:id="rId554" display="https://my.zakupivli.pro/remote/dispatcher/state_contracting_view/7283556" xr:uid="{00000000-0004-0000-0000-00002D020000}"/>
    <hyperlink ref="B282" r:id="rId555" display="https://my.zakupivli.pro/remote/dispatcher/state_purchase_view/23209071" xr:uid="{00000000-0004-0000-0000-00002E020000}"/>
    <hyperlink ref="C282" r:id="rId556" display="https://my.zakupivli.pro/remote/dispatcher/state_contracting_view/7314353" xr:uid="{00000000-0004-0000-0000-00002F020000}"/>
    <hyperlink ref="B283" r:id="rId557" display="https://my.zakupivli.pro/remote/dispatcher/state_purchase_view/29824597" xr:uid="{00000000-0004-0000-0000-000030020000}"/>
    <hyperlink ref="C283" r:id="rId558" display="https://my.zakupivli.pro/remote/dispatcher/state_contracting_view/10419281" xr:uid="{00000000-0004-0000-0000-000031020000}"/>
    <hyperlink ref="B284" r:id="rId559" display="https://my.zakupivli.pro/remote/dispatcher/state_purchase_view/32679614" xr:uid="{00000000-0004-0000-0000-000032020000}"/>
    <hyperlink ref="C284" r:id="rId560" display="https://my.zakupivli.pro/remote/dispatcher/state_contracting_view/11733677" xr:uid="{00000000-0004-0000-0000-000033020000}"/>
    <hyperlink ref="B285" r:id="rId561" display="https://my.zakupivli.pro/remote/dispatcher/state_purchase_view/26010802" xr:uid="{00000000-0004-0000-0000-000034020000}"/>
    <hyperlink ref="C285" r:id="rId562" display="https://my.zakupivli.pro/remote/dispatcher/state_contracting_view/8619593" xr:uid="{00000000-0004-0000-0000-000035020000}"/>
    <hyperlink ref="B286" r:id="rId563" display="https://my.zakupivli.pro/remote/dispatcher/state_purchase_view/23152342" xr:uid="{00000000-0004-0000-0000-000036020000}"/>
    <hyperlink ref="C286" r:id="rId564" display="https://my.zakupivli.pro/remote/dispatcher/state_contracting_view/7291937" xr:uid="{00000000-0004-0000-0000-000037020000}"/>
    <hyperlink ref="B287" r:id="rId565" display="https://my.zakupivli.pro/remote/dispatcher/state_purchase_view/23324526" xr:uid="{00000000-0004-0000-0000-000038020000}"/>
    <hyperlink ref="C287" r:id="rId566" display="https://my.zakupivli.pro/remote/dispatcher/state_contracting_view/7362895" xr:uid="{00000000-0004-0000-0000-000039020000}"/>
    <hyperlink ref="B288" r:id="rId567" display="https://my.zakupivli.pro/remote/dispatcher/state_purchase_view/32693085" xr:uid="{00000000-0004-0000-0000-00003A020000}"/>
    <hyperlink ref="C288" r:id="rId568" display="https://my.zakupivli.pro/remote/dispatcher/state_contracting_view/11739537" xr:uid="{00000000-0004-0000-0000-00003B020000}"/>
    <hyperlink ref="B289" r:id="rId569" display="https://my.zakupivli.pro/remote/dispatcher/state_purchase_view/26008261" xr:uid="{00000000-0004-0000-0000-00003C020000}"/>
    <hyperlink ref="C289" r:id="rId570" display="https://my.zakupivli.pro/remote/dispatcher/state_contracting_view/8617721" xr:uid="{00000000-0004-0000-0000-00003D020000}"/>
    <hyperlink ref="B290" r:id="rId571" display="https://my.zakupivli.pro/remote/dispatcher/state_purchase_view/23216907" xr:uid="{00000000-0004-0000-0000-00003E020000}"/>
    <hyperlink ref="C290" r:id="rId572" display="https://my.zakupivli.pro/remote/dispatcher/state_contracting_view/7317491" xr:uid="{00000000-0004-0000-0000-00003F020000}"/>
    <hyperlink ref="B291" r:id="rId573" display="https://my.zakupivli.pro/remote/dispatcher/state_purchase_view/25826228" xr:uid="{00000000-0004-0000-0000-000040020000}"/>
    <hyperlink ref="C291" r:id="rId574" display="https://my.zakupivli.pro/remote/dispatcher/state_contracting_view/8530507" xr:uid="{00000000-0004-0000-0000-000041020000}"/>
    <hyperlink ref="B292" r:id="rId575" display="https://my.zakupivli.pro/remote/dispatcher/state_purchase_view/26321671" xr:uid="{00000000-0004-0000-0000-000042020000}"/>
    <hyperlink ref="C292" r:id="rId576" display="https://my.zakupivli.pro/remote/dispatcher/state_contracting_view/8768721" xr:uid="{00000000-0004-0000-0000-000043020000}"/>
    <hyperlink ref="B293" r:id="rId577" display="https://my.zakupivli.pro/remote/dispatcher/state_purchase_view/27741410" xr:uid="{00000000-0004-0000-0000-000044020000}"/>
    <hyperlink ref="C293" r:id="rId578" display="https://my.zakupivli.pro/remote/dispatcher/state_contracting_view/9443216" xr:uid="{00000000-0004-0000-0000-000045020000}"/>
    <hyperlink ref="B294" r:id="rId579" display="https://my.zakupivli.pro/remote/dispatcher/state_purchase_view/31323252" xr:uid="{00000000-0004-0000-0000-000046020000}"/>
    <hyperlink ref="C294" r:id="rId580" display="https://my.zakupivli.pro/remote/dispatcher/state_contracting_view/11108541" xr:uid="{00000000-0004-0000-0000-000047020000}"/>
    <hyperlink ref="B295" r:id="rId581" display="https://my.zakupivli.pro/remote/dispatcher/state_purchase_view/23131777" xr:uid="{00000000-0004-0000-0000-000048020000}"/>
    <hyperlink ref="C295" r:id="rId582" display="https://my.zakupivli.pro/remote/dispatcher/state_contracting_view/7284644" xr:uid="{00000000-0004-0000-0000-000049020000}"/>
    <hyperlink ref="B296" r:id="rId583" display="https://my.zakupivli.pro/remote/dispatcher/state_purchase_view/25827343" xr:uid="{00000000-0004-0000-0000-00004A020000}"/>
    <hyperlink ref="C296" r:id="rId584" display="https://my.zakupivli.pro/remote/dispatcher/state_contracting_view/8531009" xr:uid="{00000000-0004-0000-0000-00004B020000}"/>
    <hyperlink ref="B297" r:id="rId585" display="https://my.zakupivli.pro/remote/dispatcher/state_purchase_view/28535200" xr:uid="{00000000-0004-0000-0000-00004C020000}"/>
    <hyperlink ref="C297" r:id="rId586" display="https://my.zakupivli.pro/remote/dispatcher/state_contracting_view/9819353" xr:uid="{00000000-0004-0000-0000-00004D020000}"/>
    <hyperlink ref="B298" r:id="rId587" display="https://my.zakupivli.pro/remote/dispatcher/state_purchase_view/22970653" xr:uid="{00000000-0004-0000-0000-00004E020000}"/>
    <hyperlink ref="C298" r:id="rId588" display="https://my.zakupivli.pro/remote/dispatcher/state_contracting_view/7311001" xr:uid="{00000000-0004-0000-0000-00004F020000}"/>
    <hyperlink ref="B299" r:id="rId589" display="https://my.zakupivli.pro/remote/dispatcher/state_purchase_view/23206350" xr:uid="{00000000-0004-0000-0000-000050020000}"/>
    <hyperlink ref="C299" r:id="rId590" display="https://my.zakupivli.pro/remote/dispatcher/state_contracting_view/7313147" xr:uid="{00000000-0004-0000-0000-000051020000}"/>
    <hyperlink ref="B300" r:id="rId591" display="https://my.zakupivli.pro/remote/dispatcher/state_purchase_view/23115379" xr:uid="{00000000-0004-0000-0000-000052020000}"/>
    <hyperlink ref="C300" r:id="rId592" display="https://my.zakupivli.pro/remote/dispatcher/state_contracting_view/7278220" xr:uid="{00000000-0004-0000-0000-000053020000}"/>
    <hyperlink ref="B301" r:id="rId593" display="https://my.zakupivli.pro/remote/dispatcher/state_purchase_view/28536939" xr:uid="{00000000-0004-0000-0000-000054020000}"/>
    <hyperlink ref="C301" r:id="rId594" display="https://my.zakupivli.pro/remote/dispatcher/state_contracting_view/9820176" xr:uid="{00000000-0004-0000-0000-000055020000}"/>
    <hyperlink ref="B302" r:id="rId595" display="https://my.zakupivli.pro/remote/dispatcher/state_purchase_view/23659573" xr:uid="{00000000-0004-0000-0000-000056020000}"/>
    <hyperlink ref="C302" r:id="rId596" display="https://my.zakupivli.pro/remote/dispatcher/state_contracting_view/7508638" xr:uid="{00000000-0004-0000-0000-000057020000}"/>
    <hyperlink ref="B303" r:id="rId597" display="https://my.zakupivli.pro/remote/dispatcher/state_purchase_view/30155617" xr:uid="{00000000-0004-0000-0000-000058020000}"/>
    <hyperlink ref="C303" r:id="rId598" display="https://my.zakupivli.pro/remote/dispatcher/state_contracting_view/10576865" xr:uid="{00000000-0004-0000-0000-000059020000}"/>
    <hyperlink ref="B304" r:id="rId599" display="https://my.zakupivli.pro/remote/dispatcher/state_purchase_view/29279185" xr:uid="{00000000-0004-0000-0000-00005A020000}"/>
    <hyperlink ref="C304" r:id="rId600" display="https://my.zakupivli.pro/remote/dispatcher/state_contracting_view/10166628" xr:uid="{00000000-0004-0000-0000-00005B020000}"/>
    <hyperlink ref="B305" r:id="rId601" display="https://my.zakupivli.pro/remote/dispatcher/state_purchase_view/30989800" xr:uid="{00000000-0004-0000-0000-00005C020000}"/>
    <hyperlink ref="C305" r:id="rId602" display="https://my.zakupivli.pro/remote/dispatcher/state_contracting_view/10956874" xr:uid="{00000000-0004-0000-0000-00005D020000}"/>
    <hyperlink ref="B306" r:id="rId603" display="https://my.zakupivli.pro/remote/dispatcher/state_purchase_view/32967730" xr:uid="{00000000-0004-0000-0000-00005E020000}"/>
    <hyperlink ref="C306" r:id="rId604" display="https://my.zakupivli.pro/remote/dispatcher/state_contracting_view/11869214" xr:uid="{00000000-0004-0000-0000-00005F020000}"/>
    <hyperlink ref="B307" r:id="rId605" display="https://my.zakupivli.pro/remote/dispatcher/state_purchase_view/32694709" xr:uid="{00000000-0004-0000-0000-000060020000}"/>
    <hyperlink ref="C307" r:id="rId606" display="https://my.zakupivli.pro/remote/dispatcher/state_contracting_view/11740164" xr:uid="{00000000-0004-0000-0000-000061020000}"/>
    <hyperlink ref="B308" r:id="rId607" display="https://my.zakupivli.pro/remote/dispatcher/state_purchase_view/33447107" xr:uid="{00000000-0004-0000-0000-000062020000}"/>
    <hyperlink ref="C308" r:id="rId608" display="https://my.zakupivli.pro/remote/dispatcher/state_contracting_view/12101318" xr:uid="{00000000-0004-0000-0000-000063020000}"/>
    <hyperlink ref="B309" r:id="rId609" display="https://my.zakupivli.pro/remote/dispatcher/state_purchase_view/31158661" xr:uid="{00000000-0004-0000-0000-000064020000}"/>
    <hyperlink ref="C309" r:id="rId610" display="https://my.zakupivli.pro/remote/dispatcher/state_contracting_view/11034271" xr:uid="{00000000-0004-0000-0000-000065020000}"/>
    <hyperlink ref="B310" r:id="rId611" display="https://my.zakupivli.pro/remote/dispatcher/state_purchase_view/31157652" xr:uid="{00000000-0004-0000-0000-000066020000}"/>
    <hyperlink ref="C310" r:id="rId612" display="https://my.zakupivli.pro/remote/dispatcher/state_contracting_view/11033416" xr:uid="{00000000-0004-0000-0000-000067020000}"/>
    <hyperlink ref="B311" r:id="rId613" display="https://my.zakupivli.pro/remote/dispatcher/state_purchase_view/29950019" xr:uid="{00000000-0004-0000-0000-000068020000}"/>
    <hyperlink ref="C311" r:id="rId614" display="https://my.zakupivli.pro/remote/dispatcher/state_contracting_view/10476978" xr:uid="{00000000-0004-0000-0000-000069020000}"/>
    <hyperlink ref="B312" r:id="rId615" display="https://my.zakupivli.pro/remote/dispatcher/state_purchase_view/30773718" xr:uid="{00000000-0004-0000-0000-00006A020000}"/>
    <hyperlink ref="C312" r:id="rId616" display="https://my.zakupivli.pro/remote/dispatcher/state_contracting_view/10857351" xr:uid="{00000000-0004-0000-0000-00006B020000}"/>
    <hyperlink ref="B313" r:id="rId617" display="https://my.zakupivli.pro/remote/dispatcher/state_purchase_view/30525218" xr:uid="{00000000-0004-0000-0000-00006C020000}"/>
    <hyperlink ref="C313" r:id="rId618" display="https://my.zakupivli.pro/remote/dispatcher/state_contracting_view/10742744" xr:uid="{00000000-0004-0000-0000-00006D020000}"/>
    <hyperlink ref="B314" r:id="rId619" display="https://my.zakupivli.pro/remote/dispatcher/state_purchase_view/30776170" xr:uid="{00000000-0004-0000-0000-00006E020000}"/>
    <hyperlink ref="C314" r:id="rId620" display="https://my.zakupivli.pro/remote/dispatcher/state_contracting_view/10857822" xr:uid="{00000000-0004-0000-0000-00006F020000}"/>
    <hyperlink ref="B315" r:id="rId621" display="https://my.zakupivli.pro/remote/dispatcher/state_purchase_view/30158455" xr:uid="{00000000-0004-0000-0000-000070020000}"/>
    <hyperlink ref="C315" r:id="rId622" display="https://my.zakupivli.pro/remote/dispatcher/state_contracting_view/10573682" xr:uid="{00000000-0004-0000-0000-000071020000}"/>
    <hyperlink ref="B316" r:id="rId623" display="https://my.zakupivli.pro/remote/dispatcher/state_purchase_view/29649860" xr:uid="{00000000-0004-0000-0000-000072020000}"/>
    <hyperlink ref="C316" r:id="rId624" display="https://my.zakupivli.pro/remote/dispatcher/state_contracting_view/10338490" xr:uid="{00000000-0004-0000-0000-000073020000}"/>
    <hyperlink ref="B317" r:id="rId625" display="https://my.zakupivli.pro/remote/dispatcher/state_purchase_view/29652140" xr:uid="{00000000-0004-0000-0000-000074020000}"/>
    <hyperlink ref="C317" r:id="rId626" display="https://my.zakupivli.pro/remote/dispatcher/state_contracting_view/10339530" xr:uid="{00000000-0004-0000-0000-000075020000}"/>
    <hyperlink ref="B318" r:id="rId627" display="https://my.zakupivli.pro/remote/dispatcher/state_purchase_view/28176491" xr:uid="{00000000-0004-0000-0000-000076020000}"/>
    <hyperlink ref="C318" r:id="rId628" display="https://my.zakupivli.pro/remote/dispatcher/state_contracting_view/9649637" xr:uid="{00000000-0004-0000-0000-000077020000}"/>
    <hyperlink ref="B319" r:id="rId629" display="https://my.zakupivli.pro/remote/dispatcher/state_purchase_view/29236657" xr:uid="{00000000-0004-0000-0000-000078020000}"/>
    <hyperlink ref="C319" r:id="rId630" display="https://my.zakupivli.pro/remote/dispatcher/state_contracting_view/10146077" xr:uid="{00000000-0004-0000-0000-000079020000}"/>
    <hyperlink ref="B320" r:id="rId631" display="https://my.zakupivli.pro/remote/dispatcher/state_purchase_view/28547414" xr:uid="{00000000-0004-0000-0000-00007A020000}"/>
    <hyperlink ref="C320" r:id="rId632" display="https://my.zakupivli.pro/remote/dispatcher/state_contracting_view/9825193" xr:uid="{00000000-0004-0000-0000-00007B020000}"/>
    <hyperlink ref="B321" r:id="rId633" display="https://my.zakupivli.pro/remote/dispatcher/state_purchase_view/28540133" xr:uid="{00000000-0004-0000-0000-00007C020000}"/>
    <hyperlink ref="C321" r:id="rId634" display="https://my.zakupivli.pro/remote/dispatcher/state_contracting_view/9821912" xr:uid="{00000000-0004-0000-0000-00007D020000}"/>
    <hyperlink ref="B322" r:id="rId635" display="https://my.zakupivli.pro/remote/dispatcher/state_purchase_view/28546182" xr:uid="{00000000-0004-0000-0000-00007E020000}"/>
    <hyperlink ref="C322" r:id="rId636" display="https://my.zakupivli.pro/remote/dispatcher/state_contracting_view/9824431" xr:uid="{00000000-0004-0000-0000-00007F020000}"/>
    <hyperlink ref="B323" r:id="rId637" display="https://my.zakupivli.pro/remote/dispatcher/state_purchase_view/28545286" xr:uid="{00000000-0004-0000-0000-000080020000}"/>
    <hyperlink ref="C323" r:id="rId638" display="https://my.zakupivli.pro/remote/dispatcher/state_contracting_view/9824714" xr:uid="{00000000-0004-0000-0000-000081020000}"/>
    <hyperlink ref="B324" r:id="rId639" display="https://my.zakupivli.pro/remote/dispatcher/state_purchase_view/28540739" xr:uid="{00000000-0004-0000-0000-000082020000}"/>
    <hyperlink ref="C324" r:id="rId640" display="https://my.zakupivli.pro/remote/dispatcher/state_contracting_view/9821995" xr:uid="{00000000-0004-0000-0000-000083020000}"/>
    <hyperlink ref="B325" r:id="rId641" display="https://my.zakupivli.pro/remote/dispatcher/state_purchase_view/28547107" xr:uid="{00000000-0004-0000-0000-000084020000}"/>
    <hyperlink ref="C325" r:id="rId642" display="https://my.zakupivli.pro/remote/dispatcher/state_contracting_view/9824859" xr:uid="{00000000-0004-0000-0000-000085020000}"/>
    <hyperlink ref="B326" r:id="rId643" display="https://my.zakupivli.pro/remote/dispatcher/state_purchase_view/28546626" xr:uid="{00000000-0004-0000-0000-000086020000}"/>
    <hyperlink ref="C326" r:id="rId644" display="https://my.zakupivli.pro/remote/dispatcher/state_contracting_view/9824754" xr:uid="{00000000-0004-0000-0000-000087020000}"/>
    <hyperlink ref="B327" r:id="rId645" display="https://my.zakupivli.pro/remote/dispatcher/state_purchase_view/28540477" xr:uid="{00000000-0004-0000-0000-000088020000}"/>
    <hyperlink ref="C327" r:id="rId646" display="https://my.zakupivli.pro/remote/dispatcher/state_contracting_view/9822132" xr:uid="{00000000-0004-0000-0000-000089020000}"/>
    <hyperlink ref="B328" r:id="rId647" display="https://my.zakupivli.pro/remote/dispatcher/state_purchase_view/27074624" xr:uid="{00000000-0004-0000-0000-00008A020000}"/>
    <hyperlink ref="C328" r:id="rId648" display="https://my.zakupivli.pro/remote/dispatcher/state_contracting_view/9127016" xr:uid="{00000000-0004-0000-0000-00008B020000}"/>
    <hyperlink ref="B329" r:id="rId649" display="https://my.zakupivli.pro/remote/dispatcher/state_purchase_view/27074947" xr:uid="{00000000-0004-0000-0000-00008C020000}"/>
    <hyperlink ref="C329" r:id="rId650" display="https://my.zakupivli.pro/remote/dispatcher/state_contracting_view/9127119" xr:uid="{00000000-0004-0000-0000-00008D020000}"/>
    <hyperlink ref="B330" r:id="rId651" display="https://my.zakupivli.pro/remote/dispatcher/state_purchase_view/27075540" xr:uid="{00000000-0004-0000-0000-00008E020000}"/>
    <hyperlink ref="C330" r:id="rId652" display="https://my.zakupivli.pro/remote/dispatcher/state_contracting_view/9127241" xr:uid="{00000000-0004-0000-0000-00008F020000}"/>
    <hyperlink ref="B331" r:id="rId653" display="https://my.zakupivli.pro/remote/dispatcher/state_purchase_view/27075846" xr:uid="{00000000-0004-0000-0000-000090020000}"/>
    <hyperlink ref="C331" r:id="rId654" display="https://my.zakupivli.pro/remote/dispatcher/state_contracting_view/9127549" xr:uid="{00000000-0004-0000-0000-000091020000}"/>
    <hyperlink ref="B332" r:id="rId655" display="https://my.zakupivli.pro/remote/dispatcher/state_purchase_view/27076058" xr:uid="{00000000-0004-0000-0000-000092020000}"/>
    <hyperlink ref="C332" r:id="rId656" display="https://my.zakupivli.pro/remote/dispatcher/state_contracting_view/9127590" xr:uid="{00000000-0004-0000-0000-000093020000}"/>
    <hyperlink ref="B333" r:id="rId657" display="https://my.zakupivli.pro/remote/dispatcher/state_purchase_view/25773519" xr:uid="{00000000-0004-0000-0000-000094020000}"/>
    <hyperlink ref="C333" r:id="rId658" display="https://my.zakupivli.pro/remote/dispatcher/state_contracting_view/8505407" xr:uid="{00000000-0004-0000-0000-000095020000}"/>
    <hyperlink ref="B334" r:id="rId659" display="https://my.zakupivli.pro/remote/dispatcher/state_purchase_view/25774029" xr:uid="{00000000-0004-0000-0000-000096020000}"/>
    <hyperlink ref="C334" r:id="rId660" display="https://my.zakupivli.pro/remote/dispatcher/state_contracting_view/8505577" xr:uid="{00000000-0004-0000-0000-000097020000}"/>
    <hyperlink ref="B335" r:id="rId661" display="https://my.zakupivli.pro/remote/dispatcher/state_purchase_view/25731004" xr:uid="{00000000-0004-0000-0000-000098020000}"/>
    <hyperlink ref="C335" r:id="rId662" display="https://my.zakupivli.pro/remote/dispatcher/state_contracting_view/8485286" xr:uid="{00000000-0004-0000-0000-000099020000}"/>
    <hyperlink ref="B336" r:id="rId663" display="https://my.zakupivli.pro/remote/dispatcher/state_purchase_view/25755663" xr:uid="{00000000-0004-0000-0000-00009A020000}"/>
    <hyperlink ref="C336" r:id="rId664" display="https://my.zakupivli.pro/remote/dispatcher/state_contracting_view/8497377" xr:uid="{00000000-0004-0000-0000-00009B020000}"/>
    <hyperlink ref="B337" r:id="rId665" display="https://my.zakupivli.pro/remote/dispatcher/state_purchase_view/23528851" xr:uid="{00000000-0004-0000-0000-00009C020000}"/>
    <hyperlink ref="C337" r:id="rId666" display="https://my.zakupivli.pro/remote/dispatcher/state_contracting_view/7450977" xr:uid="{00000000-0004-0000-0000-00009D020000}"/>
    <hyperlink ref="B338" r:id="rId667" display="https://my.zakupivli.pro/remote/dispatcher/state_purchase_view/20582872" xr:uid="{00000000-0004-0000-0000-00009E020000}"/>
    <hyperlink ref="C338" r:id="rId668" display="https://my.zakupivli.pro/remote/dispatcher/state_contracting_view/6111071" xr:uid="{00000000-0004-0000-0000-00009F020000}"/>
    <hyperlink ref="B339" r:id="rId669" display="https://my.zakupivli.pro/remote/dispatcher/state_purchase_view/21882514" xr:uid="{00000000-0004-0000-0000-0000A0020000}"/>
    <hyperlink ref="C339" r:id="rId670" display="https://my.zakupivli.pro/remote/dispatcher/state_contracting_view/6718998" xr:uid="{00000000-0004-0000-0000-0000A1020000}"/>
    <hyperlink ref="B340" r:id="rId671" display="https://my.zakupivli.pro/remote/dispatcher/state_purchase_view/19565291" xr:uid="{00000000-0004-0000-0000-0000A2020000}"/>
    <hyperlink ref="C340" r:id="rId672" display="https://my.zakupivli.pro/remote/dispatcher/state_contracting_view/5623710" xr:uid="{00000000-0004-0000-0000-0000A3020000}"/>
    <hyperlink ref="B341" r:id="rId673" display="https://my.zakupivli.pro/remote/dispatcher/state_purchase_view/19567926" xr:uid="{00000000-0004-0000-0000-0000A4020000}"/>
    <hyperlink ref="C341" r:id="rId674" display="https://my.zakupivli.pro/remote/dispatcher/state_contracting_view/5625072" xr:uid="{00000000-0004-0000-0000-0000A5020000}"/>
    <hyperlink ref="B342" r:id="rId675" display="https://my.zakupivli.pro/remote/dispatcher/state_purchase_view/19377814" xr:uid="{00000000-0004-0000-0000-0000A6020000}"/>
    <hyperlink ref="C342" r:id="rId676" display="https://my.zakupivli.pro/remote/dispatcher/state_contracting_view/5536074" xr:uid="{00000000-0004-0000-0000-0000A7020000}"/>
    <hyperlink ref="B343" r:id="rId677" display="https://my.zakupivli.pro/remote/dispatcher/state_purchase_view/19482052" xr:uid="{00000000-0004-0000-0000-0000A8020000}"/>
    <hyperlink ref="C343" r:id="rId678" display="https://my.zakupivli.pro/remote/dispatcher/state_contracting_view/5584245" xr:uid="{00000000-0004-0000-0000-0000A9020000}"/>
    <hyperlink ref="B344" r:id="rId679" display="https://my.zakupivli.pro/remote/dispatcher/state_purchase_view/20707443" xr:uid="{00000000-0004-0000-0000-0000AA020000}"/>
    <hyperlink ref="C344" r:id="rId680" display="https://my.zakupivli.pro/remote/dispatcher/state_contracting_view/6168455" xr:uid="{00000000-0004-0000-0000-0000AB020000}"/>
    <hyperlink ref="B345" r:id="rId681" display="https://my.zakupivli.pro/remote/dispatcher/state_purchase_view/19569207" xr:uid="{00000000-0004-0000-0000-0000AC020000}"/>
    <hyperlink ref="C345" r:id="rId682" display="https://my.zakupivli.pro/remote/dispatcher/state_contracting_view/5626567" xr:uid="{00000000-0004-0000-0000-0000AD020000}"/>
    <hyperlink ref="B346" r:id="rId683" display="https://my.zakupivli.pro/remote/dispatcher/state_purchase_view/20954211" xr:uid="{00000000-0004-0000-0000-0000AE020000}"/>
    <hyperlink ref="C346" r:id="rId684" display="https://my.zakupivli.pro/remote/dispatcher/state_contracting_view/6322137" xr:uid="{00000000-0004-0000-0000-0000AF020000}"/>
    <hyperlink ref="B347" r:id="rId685" display="https://my.zakupivli.pro/remote/dispatcher/state_purchase_view/19394503" xr:uid="{00000000-0004-0000-0000-0000B0020000}"/>
    <hyperlink ref="C347" r:id="rId686" display="https://my.zakupivli.pro/remote/dispatcher/state_contracting_view/5543536" xr:uid="{00000000-0004-0000-0000-0000B1020000}"/>
    <hyperlink ref="B348" r:id="rId687" display="https://my.zakupivli.pro/remote/dispatcher/state_purchase_view/21326197" xr:uid="{00000000-0004-0000-0000-0000B2020000}"/>
    <hyperlink ref="C348" r:id="rId688" display="https://my.zakupivli.pro/remote/dispatcher/state_contracting_view/6459812" xr:uid="{00000000-0004-0000-0000-0000B3020000}"/>
    <hyperlink ref="B349" r:id="rId689" display="https://my.zakupivli.pro/remote/dispatcher/state_purchase_view/19556959" xr:uid="{00000000-0004-0000-0000-0000B4020000}"/>
    <hyperlink ref="C349" r:id="rId690" display="https://my.zakupivli.pro/remote/dispatcher/state_contracting_view/5621210" xr:uid="{00000000-0004-0000-0000-0000B5020000}"/>
    <hyperlink ref="B350" r:id="rId691" display="https://my.zakupivli.pro/remote/dispatcher/state_purchase_view/19451160" xr:uid="{00000000-0004-0000-0000-0000B6020000}"/>
    <hyperlink ref="C350" r:id="rId692" display="https://my.zakupivli.pro/remote/dispatcher/state_contracting_view/5569707" xr:uid="{00000000-0004-0000-0000-0000B7020000}"/>
    <hyperlink ref="B351" r:id="rId693" display="https://my.zakupivli.pro/remote/dispatcher/state_purchase_view/21860706" xr:uid="{00000000-0004-0000-0000-0000B8020000}"/>
    <hyperlink ref="C351" r:id="rId694" display="https://my.zakupivli.pro/remote/dispatcher/state_contracting_view/6708833" xr:uid="{00000000-0004-0000-0000-0000B9020000}"/>
    <hyperlink ref="B352" r:id="rId695" display="https://my.zakupivli.pro/remote/dispatcher/state_purchase_view/20561660" xr:uid="{00000000-0004-0000-0000-0000BA020000}"/>
    <hyperlink ref="C352" r:id="rId696" display="https://my.zakupivli.pro/remote/dispatcher/state_contracting_view/6100119" xr:uid="{00000000-0004-0000-0000-0000BB020000}"/>
    <hyperlink ref="B353" r:id="rId697" display="https://my.zakupivli.pro/remote/dispatcher/state_purchase_view/20703834" xr:uid="{00000000-0004-0000-0000-0000BC020000}"/>
    <hyperlink ref="C353" r:id="rId698" display="https://my.zakupivli.pro/remote/dispatcher/state_contracting_view/6166802" xr:uid="{00000000-0004-0000-0000-0000BD020000}"/>
    <hyperlink ref="B354" r:id="rId699" display="https://my.zakupivli.pro/remote/dispatcher/state_purchase_view/19540853" xr:uid="{00000000-0004-0000-0000-0000BE020000}"/>
    <hyperlink ref="C354" r:id="rId700" display="https://my.zakupivli.pro/remote/dispatcher/state_contracting_view/5614551" xr:uid="{00000000-0004-0000-0000-0000BF020000}"/>
    <hyperlink ref="B355" r:id="rId701" display="https://my.zakupivli.pro/remote/dispatcher/state_purchase_view/22424243" xr:uid="{00000000-0004-0000-0000-0000C0020000}"/>
    <hyperlink ref="C355" r:id="rId702" display="https://my.zakupivli.pro/remote/dispatcher/state_contracting_view/6979707" xr:uid="{00000000-0004-0000-0000-0000C1020000}"/>
    <hyperlink ref="B356" r:id="rId703" display="https://my.zakupivli.pro/remote/dispatcher/state_purchase_view/21321854" xr:uid="{00000000-0004-0000-0000-0000C2020000}"/>
    <hyperlink ref="C356" r:id="rId704" display="https://my.zakupivli.pro/remote/dispatcher/state_contracting_view/6457441" xr:uid="{00000000-0004-0000-0000-0000C3020000}"/>
    <hyperlink ref="B357" r:id="rId705" display="https://my.zakupivli.pro/remote/dispatcher/state_purchase_view/19485410" xr:uid="{00000000-0004-0000-0000-0000C4020000}"/>
    <hyperlink ref="C357" r:id="rId706" display="https://my.zakupivli.pro/remote/dispatcher/state_contracting_view/5586227" xr:uid="{00000000-0004-0000-0000-0000C5020000}"/>
    <hyperlink ref="B358" r:id="rId707" display="https://my.zakupivli.pro/remote/dispatcher/state_purchase_view/19390319" xr:uid="{00000000-0004-0000-0000-0000C6020000}"/>
    <hyperlink ref="C358" r:id="rId708" display="https://my.zakupivli.pro/remote/dispatcher/state_contracting_view/5541789" xr:uid="{00000000-0004-0000-0000-0000C7020000}"/>
    <hyperlink ref="B359" r:id="rId709" display="https://my.zakupivli.pro/remote/dispatcher/state_purchase_view/20198481" xr:uid="{00000000-0004-0000-0000-0000C8020000}"/>
    <hyperlink ref="C359" r:id="rId710" display="https://my.zakupivli.pro/remote/dispatcher/state_contracting_view/5923129" xr:uid="{00000000-0004-0000-0000-0000C9020000}"/>
    <hyperlink ref="B360" r:id="rId711" display="https://my.zakupivli.pro/remote/dispatcher/state_purchase_view/21017014" xr:uid="{00000000-0004-0000-0000-0000CA020000}"/>
    <hyperlink ref="C360" r:id="rId712" display="https://my.zakupivli.pro/remote/dispatcher/state_contracting_view/6315781" xr:uid="{00000000-0004-0000-0000-0000CB020000}"/>
    <hyperlink ref="B361" r:id="rId713" display="https://my.zakupivli.pro/remote/dispatcher/state_purchase_view/19295440" xr:uid="{00000000-0004-0000-0000-0000CC020000}"/>
    <hyperlink ref="C361" r:id="rId714" display="https://my.zakupivli.pro/remote/dispatcher/state_contracting_view/5496249" xr:uid="{00000000-0004-0000-0000-0000CD020000}"/>
    <hyperlink ref="B362" r:id="rId715" display="https://my.zakupivli.pro/remote/dispatcher/state_purchase_view/19488403" xr:uid="{00000000-0004-0000-0000-0000CE020000}"/>
    <hyperlink ref="C362" r:id="rId716" display="https://my.zakupivli.pro/remote/dispatcher/state_contracting_view/5588400" xr:uid="{00000000-0004-0000-0000-0000CF020000}"/>
    <hyperlink ref="B363" r:id="rId717" display="https://my.zakupivli.pro/remote/dispatcher/state_purchase_view/19352446" xr:uid="{00000000-0004-0000-0000-0000D0020000}"/>
    <hyperlink ref="C363" r:id="rId718" display="https://my.zakupivli.pro/remote/dispatcher/state_contracting_view/5523934" xr:uid="{00000000-0004-0000-0000-0000D1020000}"/>
    <hyperlink ref="B364" r:id="rId719" display="https://my.zakupivli.pro/remote/dispatcher/state_purchase_view/20515614" xr:uid="{00000000-0004-0000-0000-0000D2020000}"/>
    <hyperlink ref="C364" r:id="rId720" display="https://my.zakupivli.pro/remote/dispatcher/state_contracting_view/6077382" xr:uid="{00000000-0004-0000-0000-0000D3020000}"/>
    <hyperlink ref="B365" r:id="rId721" display="https://my.zakupivli.pro/remote/dispatcher/state_purchase_view/21017886" xr:uid="{00000000-0004-0000-0000-0000D4020000}"/>
    <hyperlink ref="C365" r:id="rId722" display="https://my.zakupivli.pro/remote/dispatcher/state_contracting_view/6316298" xr:uid="{00000000-0004-0000-0000-0000D5020000}"/>
    <hyperlink ref="B366" r:id="rId723" display="https://my.zakupivli.pro/remote/dispatcher/state_purchase_view/21691004" xr:uid="{00000000-0004-0000-0000-0000D6020000}"/>
    <hyperlink ref="C366" r:id="rId724" display="https://my.zakupivli.pro/remote/dispatcher/state_contracting_view/6634444" xr:uid="{00000000-0004-0000-0000-0000D702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user</cp:lastModifiedBy>
  <dcterms:created xsi:type="dcterms:W3CDTF">2026-02-04T13:18:22Z</dcterms:created>
  <dcterms:modified xsi:type="dcterms:W3CDTF">2026-02-04T11:25:18Z</dcterms:modified>
  <cp:category/>
</cp:coreProperties>
</file>